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0" windowWidth="8940" windowHeight="4300" activeTab="0"/>
  </bookViews>
  <sheets>
    <sheet name="Gaffelrigg" sheetId="1" r:id="rId1"/>
  </sheets>
  <definedNames>
    <definedName name="AC">'Gaffelrigg'!$J:$J</definedName>
    <definedName name="AD">'Gaffelrigg'!$H:$H</definedName>
    <definedName name="BC">'Gaffelrigg'!$I:$I</definedName>
    <definedName name="Diagonal">'Gaffelrigg'!#REF!</definedName>
    <definedName name="Lwl">'Gaffelrigg'!$C$10</definedName>
    <definedName name="_xlnm.Print_Area" localSheetId="0">'Gaffelrigg'!$A:$O</definedName>
    <definedName name="s">'Gaffelrigg'!$E:$E</definedName>
  </definedNames>
  <calcPr fullCalcOnLoad="1"/>
</workbook>
</file>

<file path=xl/sharedStrings.xml><?xml version="1.0" encoding="utf-8"?>
<sst xmlns="http://schemas.openxmlformats.org/spreadsheetml/2006/main" count="206" uniqueCount="118">
  <si>
    <t>"s"</t>
  </si>
  <si>
    <t>Forlik</t>
  </si>
  <si>
    <t>Akterlik</t>
  </si>
  <si>
    <t>Underlik</t>
  </si>
  <si>
    <t>Gaffel-lik</t>
  </si>
  <si>
    <t>Akter-lik</t>
  </si>
  <si>
    <t>Bue høyde i %</t>
  </si>
  <si>
    <t>Bue høyde cm</t>
  </si>
  <si>
    <t>Maste-lik</t>
  </si>
  <si>
    <t>Bom-lik</t>
  </si>
  <si>
    <t>Båtnavn:</t>
  </si>
  <si>
    <t>Storseil nedre trekant</t>
  </si>
  <si>
    <t>Storseil øvre trekant</t>
  </si>
  <si>
    <t>Skjøtsbarm vinkel</t>
  </si>
  <si>
    <t>Piggbarm vinkel</t>
  </si>
  <si>
    <t>Obs: Mål til skjæringspunkter utenfor seilet under kloa og i halsen ved "cutback" her.</t>
  </si>
  <si>
    <t>Obs: Mål til likenes rette linjers skjæringspunkter. (Ikke til øyer i ringer eller løyerter)</t>
  </si>
  <si>
    <t>Aspect Ratio Storseil</t>
  </si>
  <si>
    <t>SKRIV kun i GULE og ORANGE felt.</t>
  </si>
  <si>
    <t>Vinkel : Topp - Skjøtehjørne - Hals &gt;</t>
  </si>
  <si>
    <t>Beregnet i cm =</t>
  </si>
  <si>
    <t>Minusbue for akterlik er vanligvis -2,0 %.
Plussbue med spiler er gjerne +2,0 %.</t>
  </si>
  <si>
    <t>Akterlik minusbue  er vanligvis -2,0 %.
Plussbue med spiler er gjerne +2,0 %.</t>
  </si>
  <si>
    <t>Akerlik minusbue er vanligvis -2,0% =.</t>
  </si>
  <si>
    <t>Areal</t>
  </si>
  <si>
    <t xml:space="preserve">LP (fra skjøtehjørne til forlik) = </t>
  </si>
  <si>
    <t>Obs: Mål til likenes rette linjers skjæringspunkter. (Ikke til øyer i ringer eller løyerter) Skjæringspunktene kan derfor ofte være utenfor seilet.</t>
  </si>
  <si>
    <t>OBS! Pluss/minusbuer må måles/bedømmes med seilet utstukket i lufta, ikke liggende flatt på et gulv, best på båten. Eller bruk standard %er.</t>
  </si>
  <si>
    <t>LP fra skjøtehjørne til rett linje topp-bunn=</t>
  </si>
  <si>
    <t xml:space="preserve">Underlik Plussbue 0 til+2,0% = </t>
  </si>
  <si>
    <t>Underlik plussbue varierer fra 0 til +5 % = .</t>
  </si>
  <si>
    <t xml:space="preserve">Underlik Plussbue 0 til +2,0% = </t>
  </si>
  <si>
    <t>Vanlig plussbue for underlik er 3 til +5 %.</t>
  </si>
  <si>
    <t xml:space="preserve">Underlik Minusbue 0 til +2,0% = </t>
  </si>
  <si>
    <t>Toppseilstang=</t>
  </si>
  <si>
    <t>Notat:</t>
  </si>
  <si>
    <t>vanligvis 1,5 grader akterover</t>
  </si>
  <si>
    <t>Mastelogging =</t>
  </si>
  <si>
    <t>Bomlik vinkel mesan=</t>
  </si>
  <si>
    <t>Halstalje kompensasjon =</t>
  </si>
  <si>
    <t>Bomvinkel =</t>
  </si>
  <si>
    <t>Ca -1,0 grader</t>
  </si>
  <si>
    <t>vanligvis 4-5 grader, mindre ved høy bom &amp; to-mastere</t>
  </si>
  <si>
    <t>ca -1,0 grad</t>
  </si>
  <si>
    <t>Gaffel vinkel</t>
  </si>
  <si>
    <t>Fritt seil u. stang ca =</t>
  </si>
  <si>
    <t>Jackyard =</t>
  </si>
  <si>
    <t>Halsvinkel (mastelik/bomlik)  =</t>
  </si>
  <si>
    <t>Toppseil uten stang</t>
  </si>
  <si>
    <t>Genoa</t>
  </si>
  <si>
    <t>Mesan</t>
  </si>
  <si>
    <t xml:space="preserve">Rev: 1 stk á </t>
  </si>
  <si>
    <t>Areal av +/- bue =</t>
  </si>
  <si>
    <t>Storseilets Høyde =</t>
  </si>
  <si>
    <t>Pluss/minus-bue Akterlik &gt;</t>
  </si>
  <si>
    <t>Plussbue Bom-lik &gt;</t>
  </si>
  <si>
    <t>Juster ev. vinkel mastelik/bomlik til diagonalen stemmer med ditt mål.</t>
  </si>
  <si>
    <t>OBS! Cutback i halsen kan føre til feilmåling av Bomlik.</t>
  </si>
  <si>
    <t>OBS! Cutback under kloa kan føre til feilmåling av mastelik og gaffellik.</t>
  </si>
  <si>
    <t>Diagonal (beregnet) =</t>
  </si>
  <si>
    <t>Husk Pluss eller Minus bue. Plussbue med spiler. Minusbue uten.</t>
  </si>
  <si>
    <t>Forlik plussbue, stangens bue +cutback, ca 3,0 %</t>
  </si>
  <si>
    <t>Forlik kordehøyde til rennemerr feste, 0 - 2% &gt;</t>
  </si>
  <si>
    <t>Gaffel vinkel er vanligvis 40-43 grader (vinkel mot mast) Lav vinkel = høy pigging).</t>
  </si>
  <si>
    <t>Seilets Høyde =</t>
  </si>
  <si>
    <t>Skriv tall uten enhet; m, % osv. kommer automatisk.</t>
  </si>
  <si>
    <t>Storseil nytt</t>
  </si>
  <si>
    <t>I orange felt er det forvalgte verdier. Juster til verdier i grå felt stemmer med dine mål/ønsker.</t>
  </si>
  <si>
    <t>LP (fra skjøtehjørne til forlik) =</t>
  </si>
  <si>
    <t>eller 1 rev á =</t>
  </si>
  <si>
    <t>AD</t>
  </si>
  <si>
    <t>BC</t>
  </si>
  <si>
    <t>AC</t>
  </si>
  <si>
    <t>bc*sin(b)/AC</t>
  </si>
  <si>
    <t>V_PD</t>
  </si>
  <si>
    <t>Cos_PD</t>
  </si>
  <si>
    <t>A-lik</t>
  </si>
  <si>
    <t>M-lik</t>
  </si>
  <si>
    <t>Dia</t>
  </si>
  <si>
    <t>Rev u-lik</t>
  </si>
  <si>
    <t>Rest areal</t>
  </si>
  <si>
    <t>2dre rev</t>
  </si>
  <si>
    <t>3dje Rev</t>
  </si>
  <si>
    <t>ev. 4dje Rev</t>
  </si>
  <si>
    <t>Rev Høyde</t>
  </si>
  <si>
    <t>Båtens data</t>
  </si>
  <si>
    <t>Loa</t>
  </si>
  <si>
    <t>Lwl</t>
  </si>
  <si>
    <t>Bredde</t>
  </si>
  <si>
    <t>Deplasement</t>
  </si>
  <si>
    <t>2dre rev =</t>
  </si>
  <si>
    <t>Anbefalt Rev (akterlik): 1ste rev  =</t>
  </si>
  <si>
    <t>Obs. Blå, hvite og grå celler er celler med formler &amp; info som er beskyttet så du ikke uforvarende skal skrive i dem.</t>
  </si>
  <si>
    <r>
      <t>Hvis du ønsker å redigere celler eller se formler, går du på "V</t>
    </r>
    <r>
      <rPr>
        <u val="single"/>
        <sz val="11"/>
        <rFont val="Times New Roman"/>
        <family val="1"/>
      </rPr>
      <t>e</t>
    </r>
    <r>
      <rPr>
        <sz val="11"/>
        <rFont val="Times New Roman"/>
        <family val="1"/>
      </rPr>
      <t>rktøy" &gt; "Beskyttelse" &gt; "Opphev arkbeskyttelse".</t>
    </r>
  </si>
  <si>
    <t>Skriv tall uten enhet; m, cm osv kommer automatisk.</t>
  </si>
  <si>
    <t>Gaffel vinkel er vanligvis 40-43 grader (vinkel mot mastetopp) Lav vinkel = høy pigging).</t>
  </si>
  <si>
    <t>Lwl %</t>
  </si>
  <si>
    <t>Til sammenligning:</t>
  </si>
  <si>
    <t>Lwl % =</t>
  </si>
  <si>
    <t>Rev beregnet m 3 rev =</t>
  </si>
  <si>
    <t>Rev beregnet m 2 rev =</t>
  </si>
  <si>
    <t>Rev kvm</t>
  </si>
  <si>
    <t>Lwl^2 %</t>
  </si>
  <si>
    <t>Rev valgt høyde =</t>
  </si>
  <si>
    <t>30% Lwl^2 (Kuling)</t>
  </si>
  <si>
    <t>20% Lwl^2 (Storm)</t>
  </si>
  <si>
    <t>(LWL brukes for beregning av seil % og rev)</t>
  </si>
  <si>
    <t>Nedre trekant =</t>
  </si>
  <si>
    <t>Øvre trekant =</t>
  </si>
  <si>
    <t>RS1 = 27%</t>
  </si>
  <si>
    <t>vanligvis 10 grader på mesan.</t>
  </si>
  <si>
    <t>Fil: Seilarealberegninger2009.26.02</t>
  </si>
  <si>
    <t>NN</t>
  </si>
  <si>
    <t>Fokk</t>
  </si>
  <si>
    <t>Klyver Standard</t>
  </si>
  <si>
    <t>Klyver hardvær</t>
  </si>
  <si>
    <t>Storklyver</t>
  </si>
  <si>
    <t>Toppseil m stang</t>
  </si>
</sst>
</file>

<file path=xl/styles.xml><?xml version="1.0" encoding="utf-8"?>
<styleSheet xmlns="http://schemas.openxmlformats.org/spreadsheetml/2006/main">
  <numFmts count="40">
    <numFmt numFmtId="5" formatCode="&quot;NOK&quot;\ #,##0;\-&quot;NOK&quot;\ #,##0"/>
    <numFmt numFmtId="6" formatCode="&quot;NOK&quot;\ #,##0;[Red]\-&quot;NOK&quot;\ #,##0"/>
    <numFmt numFmtId="7" formatCode="&quot;NOK&quot;\ #,##0.00;\-&quot;NOK&quot;\ #,##0.00"/>
    <numFmt numFmtId="8" formatCode="&quot;NOK&quot;\ #,##0.00;[Red]\-&quot;NOK&quot;\ #,##0.00"/>
    <numFmt numFmtId="42" formatCode="_-&quot;NOK&quot;\ * #,##0_-;\-&quot;NOK&quot;\ * #,##0_-;_-&quot;NOK&quot;\ * &quot;-&quot;_-;_-@_-"/>
    <numFmt numFmtId="41" formatCode="_-* #,##0_-;\-* #,##0_-;_-* &quot;-&quot;_-;_-@_-"/>
    <numFmt numFmtId="44" formatCode="_-&quot;NOK&quot;\ * #,##0.00_-;\-&quot;NOK&quot;\ * #,##0.00_-;_-&quot;NOK&quot;\ 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 &quot;kr&quot;\ * #,##0_ ;_ &quot;kr&quot;\ * \-#,##0_ ;_ &quot;kr&quot;\ * &quot;-&quot;_ ;_ @_ "/>
    <numFmt numFmtId="173" formatCode="_ * #,##0_ ;_ * \-#,##0_ ;_ * &quot;-&quot;_ ;_ @_ "/>
    <numFmt numFmtId="174" formatCode="_ &quot;kr&quot;\ * #,##0.00_ ;_ &quot;kr&quot;\ * \-#,##0.00_ ;_ &quot;kr&quot;\ * &quot;-&quot;??_ ;_ @_ "/>
    <numFmt numFmtId="175" formatCode="_ * #,##0.00_ ;_ * \-#,##0.00_ ;_ * &quot;-&quot;??_ ;_ @_ "/>
    <numFmt numFmtId="176" formatCode="_ * #,##0.0_ ;_ * \-#,##0.0_ ;_ * &quot;-&quot;??_ ;_ @_ "/>
    <numFmt numFmtId="177" formatCode="0.0\ %"/>
    <numFmt numFmtId="178" formatCode="#,##0.00\ [$m-141A]"/>
    <numFmt numFmtId="179" formatCode="#,##0.0"/>
    <numFmt numFmtId="180" formatCode="#,##0\ [$cm-1C1A]"/>
    <numFmt numFmtId="181" formatCode="#,##0.00\ [$m-1C1A]"/>
    <numFmt numFmtId="182" formatCode="#,##0.0\ [$grader-1C1A]"/>
    <numFmt numFmtId="183" formatCode="#,##0\ [$grader-1C1A]"/>
    <numFmt numFmtId="184" formatCode="#,##0.0\ [$cm-1C1A]"/>
    <numFmt numFmtId="185" formatCode="_ * #,##0.00\ [$kvm-1C1A]_ ;_ * \-#,##0.00\ [$kvm-1C1A]_ ;_ * &quot;-&quot;??_ ;_ @_ "/>
    <numFmt numFmtId="186" formatCode="_ * #,##0.0\ [$kvm-1C1A]_ ;_ * \-#,##0.0\ [$kvm-1C1A]_ ;_ * &quot;-&quot;??_ ;_ @_ "/>
    <numFmt numFmtId="187" formatCode="#,##0.0000"/>
    <numFmt numFmtId="188" formatCode="#,##0.000\ [$grader-1C1A]"/>
    <numFmt numFmtId="189" formatCode="#,##0.0\ [$kvm-141A]"/>
    <numFmt numFmtId="190" formatCode="#,##0.0\ [$tonn-1C1A]"/>
    <numFmt numFmtId="191" formatCode="&quot;kr&quot;\ #,##0.0"/>
    <numFmt numFmtId="192" formatCode="&quot;kr&quot;\ #,##0.00"/>
    <numFmt numFmtId="193" formatCode="#,##0\ [$kvm-141A]"/>
    <numFmt numFmtId="194" formatCode="#,##0.0000\ [$grader-1C1A]"/>
    <numFmt numFmtId="195" formatCode="#,##0.00\ [$grader-1C1A]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20"/>
      <name val="Times New Roman"/>
      <family val="1"/>
    </font>
    <font>
      <sz val="1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1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9"/>
      <name val="Arial"/>
      <family val="0"/>
    </font>
    <font>
      <b/>
      <sz val="10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177" fontId="0" fillId="33" borderId="10" xfId="57" applyNumberFormat="1" applyFont="1" applyFill="1" applyBorder="1" applyAlignment="1" applyProtection="1">
      <alignment horizontal="center"/>
      <protection locked="0"/>
    </xf>
    <xf numFmtId="181" fontId="0" fillId="34" borderId="11" xfId="42" applyNumberFormat="1" applyFont="1" applyFill="1" applyBorder="1" applyAlignment="1" applyProtection="1">
      <alignment horizontal="center"/>
      <protection locked="0"/>
    </xf>
    <xf numFmtId="3" fontId="7" fillId="0" borderId="0" xfId="42" applyNumberFormat="1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175" fontId="3" fillId="0" borderId="0" xfId="42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75" fontId="1" fillId="0" borderId="0" xfId="42" applyNumberFormat="1" applyFont="1" applyFill="1" applyBorder="1" applyAlignment="1" applyProtection="1">
      <alignment horizontal="left"/>
      <protection locked="0"/>
    </xf>
    <xf numFmtId="175" fontId="1" fillId="0" borderId="0" xfId="42" applyNumberFormat="1" applyFont="1" applyFill="1" applyBorder="1" applyAlignment="1" applyProtection="1">
      <alignment/>
      <protection locked="0"/>
    </xf>
    <xf numFmtId="175" fontId="0" fillId="0" borderId="0" xfId="42" applyNumberFormat="1" applyFont="1" applyFill="1" applyAlignment="1" applyProtection="1">
      <alignment/>
      <protection locked="0"/>
    </xf>
    <xf numFmtId="175" fontId="0" fillId="0" borderId="0" xfId="42" applyNumberFormat="1" applyFont="1" applyFill="1" applyAlignment="1" applyProtection="1">
      <alignment horizontal="left"/>
      <protection locked="0"/>
    </xf>
    <xf numFmtId="0" fontId="0" fillId="0" borderId="12" xfId="0" applyFont="1" applyBorder="1" applyAlignment="1" applyProtection="1">
      <alignment/>
      <protection locked="0"/>
    </xf>
    <xf numFmtId="3" fontId="0" fillId="0" borderId="13" xfId="42" applyNumberFormat="1" applyFont="1" applyBorder="1" applyAlignment="1" applyProtection="1">
      <alignment/>
      <protection locked="0"/>
    </xf>
    <xf numFmtId="175" fontId="0" fillId="0" borderId="0" xfId="42" applyNumberFormat="1" applyFont="1" applyFill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/>
      <protection locked="0"/>
    </xf>
    <xf numFmtId="3" fontId="0" fillId="0" borderId="10" xfId="42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 horizontal="right"/>
      <protection locked="0"/>
    </xf>
    <xf numFmtId="175" fontId="0" fillId="35" borderId="0" xfId="42" applyNumberFormat="1" applyFont="1" applyFill="1" applyBorder="1" applyAlignment="1" applyProtection="1">
      <alignment horizontal="left"/>
      <protection locked="0"/>
    </xf>
    <xf numFmtId="176" fontId="0" fillId="0" borderId="0" xfId="42" applyNumberFormat="1" applyFont="1" applyFill="1" applyBorder="1" applyAlignment="1" applyProtection="1">
      <alignment horizontal="left"/>
      <protection locked="0"/>
    </xf>
    <xf numFmtId="176" fontId="0" fillId="0" borderId="0" xfId="0" applyNumberFormat="1" applyFill="1" applyBorder="1" applyAlignment="1" applyProtection="1">
      <alignment horizontal="left"/>
      <protection locked="0"/>
    </xf>
    <xf numFmtId="176" fontId="1" fillId="0" borderId="0" xfId="42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175" fontId="0" fillId="0" borderId="0" xfId="42" applyNumberFormat="1" applyFont="1" applyAlignment="1" applyProtection="1">
      <alignment/>
      <protection locked="0"/>
    </xf>
    <xf numFmtId="177" fontId="0" fillId="33" borderId="10" xfId="57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77" fontId="0" fillId="33" borderId="0" xfId="57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175" fontId="13" fillId="0" borderId="0" xfId="42" applyNumberFormat="1" applyFont="1" applyFill="1" applyBorder="1" applyAlignment="1" applyProtection="1">
      <alignment horizontal="left"/>
      <protection locked="0"/>
    </xf>
    <xf numFmtId="0" fontId="12" fillId="34" borderId="15" xfId="0" applyFont="1" applyFill="1" applyBorder="1" applyAlignment="1" applyProtection="1">
      <alignment vertical="center"/>
      <protection locked="0"/>
    </xf>
    <xf numFmtId="181" fontId="1" fillId="34" borderId="0" xfId="42" applyNumberFormat="1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/>
      <protection locked="0"/>
    </xf>
    <xf numFmtId="0" fontId="10" fillId="0" borderId="17" xfId="0" applyFont="1" applyFill="1" applyBorder="1" applyAlignment="1" applyProtection="1">
      <alignment horizontal="right"/>
      <protection locked="0"/>
    </xf>
    <xf numFmtId="182" fontId="0" fillId="35" borderId="18" xfId="42" applyNumberFormat="1" applyFont="1" applyFill="1" applyBorder="1" applyAlignment="1" applyProtection="1">
      <alignment horizontal="center"/>
      <protection/>
    </xf>
    <xf numFmtId="180" fontId="0" fillId="35" borderId="0" xfId="57" applyNumberFormat="1" applyFont="1" applyFill="1" applyBorder="1" applyAlignment="1" applyProtection="1">
      <alignment horizontal="center" vertical="center"/>
      <protection/>
    </xf>
    <xf numFmtId="175" fontId="0" fillId="0" borderId="0" xfId="42" applyNumberFormat="1" applyFont="1" applyFill="1" applyBorder="1" applyAlignment="1" applyProtection="1">
      <alignment horizontal="left"/>
      <protection locked="0"/>
    </xf>
    <xf numFmtId="2" fontId="0" fillId="0" borderId="0" xfId="42" applyNumberFormat="1" applyFont="1" applyFill="1" applyBorder="1" applyAlignment="1" applyProtection="1">
      <alignment horizontal="center"/>
      <protection locked="0"/>
    </xf>
    <xf numFmtId="3" fontId="1" fillId="0" borderId="19" xfId="42" applyNumberFormat="1" applyFont="1" applyBorder="1" applyAlignment="1" applyProtection="1">
      <alignment horizontal="center"/>
      <protection/>
    </xf>
    <xf numFmtId="3" fontId="1" fillId="0" borderId="0" xfId="42" applyNumberFormat="1" applyFont="1" applyBorder="1" applyAlignment="1" applyProtection="1">
      <alignment horizontal="center"/>
      <protection/>
    </xf>
    <xf numFmtId="184" fontId="0" fillId="35" borderId="0" xfId="57" applyNumberFormat="1" applyFont="1" applyFill="1" applyBorder="1" applyAlignment="1" applyProtection="1">
      <alignment horizontal="center" vertical="center"/>
      <protection/>
    </xf>
    <xf numFmtId="175" fontId="1" fillId="0" borderId="0" xfId="42" applyNumberFormat="1" applyFont="1" applyFill="1" applyBorder="1" applyAlignment="1" applyProtection="1">
      <alignment horizontal="right"/>
      <protection locked="0"/>
    </xf>
    <xf numFmtId="175" fontId="0" fillId="0" borderId="0" xfId="42" applyNumberFormat="1" applyFont="1" applyBorder="1" applyAlignment="1" applyProtection="1">
      <alignment horizontal="left"/>
      <protection locked="0"/>
    </xf>
    <xf numFmtId="175" fontId="0" fillId="0" borderId="0" xfId="42" applyNumberFormat="1" applyFont="1" applyAlignment="1" applyProtection="1">
      <alignment horizontal="left"/>
      <protection locked="0"/>
    </xf>
    <xf numFmtId="175" fontId="1" fillId="0" borderId="0" xfId="42" applyNumberFormat="1" applyFont="1" applyBorder="1" applyAlignment="1" applyProtection="1">
      <alignment horizontal="left"/>
      <protection locked="0"/>
    </xf>
    <xf numFmtId="182" fontId="0" fillId="33" borderId="10" xfId="42" applyNumberFormat="1" applyFont="1" applyFill="1" applyBorder="1" applyAlignment="1" applyProtection="1">
      <alignment horizontal="center"/>
      <protection locked="0"/>
    </xf>
    <xf numFmtId="182" fontId="1" fillId="35" borderId="0" xfId="42" applyNumberFormat="1" applyFont="1" applyFill="1" applyBorder="1" applyAlignment="1" applyProtection="1">
      <alignment horizontal="center"/>
      <protection locked="0"/>
    </xf>
    <xf numFmtId="0" fontId="12" fillId="34" borderId="12" xfId="0" applyFont="1" applyFill="1" applyBorder="1" applyAlignment="1" applyProtection="1">
      <alignment vertical="center"/>
      <protection locked="0"/>
    </xf>
    <xf numFmtId="3" fontId="0" fillId="0" borderId="10" xfId="42" applyNumberFormat="1" applyFont="1" applyBorder="1" applyAlignment="1" applyProtection="1">
      <alignment/>
      <protection locked="0"/>
    </xf>
    <xf numFmtId="3" fontId="7" fillId="0" borderId="0" xfId="42" applyNumberFormat="1" applyFont="1" applyFill="1" applyAlignment="1" applyProtection="1">
      <alignment horizontal="right"/>
      <protection locked="0"/>
    </xf>
    <xf numFmtId="181" fontId="1" fillId="34" borderId="10" xfId="42" applyNumberFormat="1" applyFont="1" applyFill="1" applyBorder="1" applyAlignment="1" applyProtection="1">
      <alignment horizontal="center" vertical="center"/>
      <protection locked="0"/>
    </xf>
    <xf numFmtId="3" fontId="14" fillId="35" borderId="15" xfId="42" applyNumberFormat="1" applyFont="1" applyFill="1" applyBorder="1" applyAlignment="1" applyProtection="1">
      <alignment/>
      <protection/>
    </xf>
    <xf numFmtId="3" fontId="0" fillId="0" borderId="13" xfId="42" applyNumberFormat="1" applyFont="1" applyBorder="1" applyAlignment="1" applyProtection="1">
      <alignment/>
      <protection/>
    </xf>
    <xf numFmtId="3" fontId="0" fillId="0" borderId="10" xfId="42" applyNumberFormat="1" applyFont="1" applyBorder="1" applyAlignment="1" applyProtection="1">
      <alignment/>
      <protection/>
    </xf>
    <xf numFmtId="3" fontId="3" fillId="35" borderId="0" xfId="42" applyNumberFormat="1" applyFont="1" applyFill="1" applyBorder="1" applyAlignment="1" applyProtection="1">
      <alignment horizontal="center"/>
      <protection/>
    </xf>
    <xf numFmtId="3" fontId="0" fillId="0" borderId="10" xfId="42" applyNumberFormat="1" applyFont="1" applyBorder="1" applyAlignment="1" applyProtection="1">
      <alignment/>
      <protection/>
    </xf>
    <xf numFmtId="175" fontId="0" fillId="0" borderId="0" xfId="42" applyNumberFormat="1" applyFont="1" applyAlignment="1" applyProtection="1">
      <alignment/>
      <protection/>
    </xf>
    <xf numFmtId="175" fontId="1" fillId="0" borderId="0" xfId="42" applyNumberFormat="1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1" fillId="0" borderId="15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182" fontId="1" fillId="35" borderId="0" xfId="42" applyNumberFormat="1" applyFont="1" applyFill="1" applyBorder="1" applyAlignment="1" applyProtection="1">
      <alignment horizontal="center"/>
      <protection/>
    </xf>
    <xf numFmtId="3" fontId="0" fillId="35" borderId="0" xfId="0" applyNumberFormat="1" applyFill="1" applyBorder="1" applyAlignment="1" applyProtection="1">
      <alignment horizontal="center"/>
      <protection/>
    </xf>
    <xf numFmtId="3" fontId="1" fillId="35" borderId="0" xfId="0" applyNumberFormat="1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/>
      <protection/>
    </xf>
    <xf numFmtId="0" fontId="2" fillId="0" borderId="14" xfId="0" applyFont="1" applyBorder="1" applyAlignment="1" applyProtection="1">
      <alignment horizontal="right"/>
      <protection/>
    </xf>
    <xf numFmtId="3" fontId="0" fillId="35" borderId="20" xfId="42" applyNumberFormat="1" applyFont="1" applyFill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right" vertical="center" wrapText="1"/>
      <protection/>
    </xf>
    <xf numFmtId="4" fontId="2" fillId="0" borderId="15" xfId="42" applyNumberFormat="1" applyFont="1" applyFill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175" fontId="0" fillId="0" borderId="0" xfId="42" applyNumberFormat="1" applyFont="1" applyAlignment="1" applyProtection="1">
      <alignment horizontal="center"/>
      <protection/>
    </xf>
    <xf numFmtId="175" fontId="0" fillId="0" borderId="0" xfId="42" applyNumberFormat="1" applyFont="1" applyBorder="1" applyAlignment="1" applyProtection="1">
      <alignment horizontal="center"/>
      <protection locked="0"/>
    </xf>
    <xf numFmtId="175" fontId="0" fillId="0" borderId="0" xfId="42" applyNumberFormat="1" applyFont="1" applyAlignment="1" applyProtection="1">
      <alignment horizontal="center"/>
      <protection locked="0"/>
    </xf>
    <xf numFmtId="3" fontId="3" fillId="34" borderId="21" xfId="42" applyNumberFormat="1" applyFont="1" applyFill="1" applyBorder="1" applyAlignment="1" applyProtection="1">
      <alignment horizontal="left"/>
      <protection/>
    </xf>
    <xf numFmtId="3" fontId="3" fillId="34" borderId="22" xfId="42" applyNumberFormat="1" applyFont="1" applyFill="1" applyBorder="1" applyAlignment="1" applyProtection="1">
      <alignment horizontal="left"/>
      <protection/>
    </xf>
    <xf numFmtId="3" fontId="8" fillId="33" borderId="23" xfId="42" applyNumberFormat="1" applyFont="1" applyFill="1" applyBorder="1" applyAlignment="1" applyProtection="1">
      <alignment horizontal="left"/>
      <protection/>
    </xf>
    <xf numFmtId="3" fontId="8" fillId="33" borderId="24" xfId="42" applyNumberFormat="1" applyFont="1" applyFill="1" applyBorder="1" applyAlignment="1" applyProtection="1">
      <alignment horizontal="right"/>
      <protection/>
    </xf>
    <xf numFmtId="3" fontId="8" fillId="35" borderId="24" xfId="42" applyNumberFormat="1" applyFont="1" applyFill="1" applyBorder="1" applyAlignment="1" applyProtection="1">
      <alignment horizontal="left"/>
      <protection/>
    </xf>
    <xf numFmtId="3" fontId="3" fillId="35" borderId="24" xfId="42" applyNumberFormat="1" applyFont="1" applyFill="1" applyBorder="1" applyAlignment="1" applyProtection="1">
      <alignment/>
      <protection/>
    </xf>
    <xf numFmtId="3" fontId="3" fillId="35" borderId="24" xfId="0" applyNumberFormat="1" applyFont="1" applyFill="1" applyBorder="1" applyAlignment="1" applyProtection="1">
      <alignment horizontal="center"/>
      <protection/>
    </xf>
    <xf numFmtId="175" fontId="1" fillId="35" borderId="25" xfId="42" applyNumberFormat="1" applyFont="1" applyFill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/>
      <protection/>
    </xf>
    <xf numFmtId="3" fontId="13" fillId="0" borderId="0" xfId="42" applyNumberFormat="1" applyFont="1" applyBorder="1" applyAlignment="1" applyProtection="1">
      <alignment/>
      <protection/>
    </xf>
    <xf numFmtId="175" fontId="16" fillId="0" borderId="26" xfId="42" applyNumberFormat="1" applyFont="1" applyBorder="1" applyAlignment="1" applyProtection="1">
      <alignment horizontal="center"/>
      <protection/>
    </xf>
    <xf numFmtId="175" fontId="11" fillId="0" borderId="15" xfId="42" applyNumberFormat="1" applyFont="1" applyFill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center"/>
      <protection/>
    </xf>
    <xf numFmtId="3" fontId="1" fillId="35" borderId="14" xfId="0" applyNumberFormat="1" applyFont="1" applyFill="1" applyBorder="1" applyAlignment="1" applyProtection="1">
      <alignment horizontal="center"/>
      <protection/>
    </xf>
    <xf numFmtId="175" fontId="1" fillId="36" borderId="18" xfId="42" applyNumberFormat="1" applyFont="1" applyFill="1" applyBorder="1" applyAlignment="1" applyProtection="1">
      <alignment horizontal="right"/>
      <protection/>
    </xf>
    <xf numFmtId="175" fontId="0" fillId="0" borderId="27" xfId="42" applyNumberFormat="1" applyFont="1" applyBorder="1" applyAlignment="1" applyProtection="1">
      <alignment horizontal="center"/>
      <protection locked="0"/>
    </xf>
    <xf numFmtId="3" fontId="0" fillId="0" borderId="27" xfId="42" applyNumberFormat="1" applyFont="1" applyBorder="1" applyAlignment="1" applyProtection="1">
      <alignment/>
      <protection/>
    </xf>
    <xf numFmtId="175" fontId="0" fillId="0" borderId="27" xfId="42" applyNumberFormat="1" applyFont="1" applyBorder="1" applyAlignment="1" applyProtection="1">
      <alignment/>
      <protection/>
    </xf>
    <xf numFmtId="175" fontId="1" fillId="0" borderId="27" xfId="42" applyNumberFormat="1" applyFont="1" applyBorder="1" applyAlignment="1" applyProtection="1">
      <alignment horizontal="left"/>
      <protection/>
    </xf>
    <xf numFmtId="0" fontId="1" fillId="0" borderId="28" xfId="0" applyFont="1" applyBorder="1" applyAlignment="1" applyProtection="1">
      <alignment/>
      <protection/>
    </xf>
    <xf numFmtId="181" fontId="0" fillId="34" borderId="26" xfId="42" applyNumberFormat="1" applyFont="1" applyFill="1" applyBorder="1" applyAlignment="1" applyProtection="1">
      <alignment horizontal="center"/>
      <protection locked="0"/>
    </xf>
    <xf numFmtId="181" fontId="0" fillId="34" borderId="28" xfId="42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Border="1" applyAlignment="1" applyProtection="1">
      <alignment horizontal="center"/>
      <protection/>
    </xf>
    <xf numFmtId="3" fontId="3" fillId="35" borderId="0" xfId="42" applyNumberFormat="1" applyFont="1" applyFill="1" applyBorder="1" applyAlignment="1" applyProtection="1">
      <alignment horizontal="center"/>
      <protection locked="0"/>
    </xf>
    <xf numFmtId="3" fontId="3" fillId="35" borderId="26" xfId="42" applyNumberFormat="1" applyFont="1" applyFill="1" applyBorder="1" applyAlignment="1" applyProtection="1">
      <alignment/>
      <protection locked="0"/>
    </xf>
    <xf numFmtId="0" fontId="10" fillId="0" borderId="29" xfId="0" applyFont="1" applyFill="1" applyBorder="1" applyAlignment="1" applyProtection="1">
      <alignment horizontal="right"/>
      <protection locked="0"/>
    </xf>
    <xf numFmtId="3" fontId="7" fillId="0" borderId="27" xfId="42" applyNumberFormat="1" applyFont="1" applyFill="1" applyBorder="1" applyAlignment="1" applyProtection="1">
      <alignment/>
      <protection locked="0"/>
    </xf>
    <xf numFmtId="3" fontId="0" fillId="0" borderId="30" xfId="42" applyNumberFormat="1" applyFont="1" applyFill="1" applyBorder="1" applyAlignment="1" applyProtection="1">
      <alignment/>
      <protection locked="0"/>
    </xf>
    <xf numFmtId="176" fontId="0" fillId="35" borderId="0" xfId="42" applyNumberFormat="1" applyFont="1" applyFill="1" applyBorder="1" applyAlignment="1" applyProtection="1">
      <alignment horizontal="left"/>
      <protection locked="0"/>
    </xf>
    <xf numFmtId="175" fontId="0" fillId="0" borderId="12" xfId="42" applyNumberFormat="1" applyFont="1" applyBorder="1" applyAlignment="1" applyProtection="1">
      <alignment/>
      <protection locked="0"/>
    </xf>
    <xf numFmtId="175" fontId="2" fillId="0" borderId="15" xfId="42" applyNumberFormat="1" applyFont="1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181" fontId="1" fillId="34" borderId="13" xfId="42" applyNumberFormat="1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/>
      <protection/>
    </xf>
    <xf numFmtId="0" fontId="8" fillId="0" borderId="14" xfId="0" applyFont="1" applyBorder="1" applyAlignment="1" applyProtection="1">
      <alignment horizontal="right"/>
      <protection locked="0"/>
    </xf>
    <xf numFmtId="3" fontId="1" fillId="35" borderId="27" xfId="42" applyNumberFormat="1" applyFont="1" applyFill="1" applyBorder="1" applyAlignment="1" applyProtection="1">
      <alignment horizontal="right"/>
      <protection/>
    </xf>
    <xf numFmtId="3" fontId="1" fillId="35" borderId="29" xfId="42" applyNumberFormat="1" applyFont="1" applyFill="1" applyBorder="1" applyAlignment="1" applyProtection="1">
      <alignment horizontal="right"/>
      <protection/>
    </xf>
    <xf numFmtId="0" fontId="0" fillId="35" borderId="27" xfId="0" applyFill="1" applyBorder="1" applyAlignment="1" applyProtection="1">
      <alignment/>
      <protection locked="0"/>
    </xf>
    <xf numFmtId="3" fontId="1" fillId="0" borderId="12" xfId="42" applyNumberFormat="1" applyFont="1" applyBorder="1" applyAlignment="1" applyProtection="1">
      <alignment horizontal="center"/>
      <protection/>
    </xf>
    <xf numFmtId="181" fontId="0" fillId="34" borderId="15" xfId="42" applyNumberFormat="1" applyFont="1" applyFill="1" applyBorder="1" applyAlignment="1" applyProtection="1">
      <alignment horizontal="center"/>
      <protection locked="0"/>
    </xf>
    <xf numFmtId="181" fontId="0" fillId="35" borderId="27" xfId="42" applyNumberFormat="1" applyFont="1" applyFill="1" applyBorder="1" applyAlignment="1" applyProtection="1">
      <alignment horizontal="center"/>
      <protection/>
    </xf>
    <xf numFmtId="184" fontId="0" fillId="35" borderId="10" xfId="42" applyNumberFormat="1" applyFont="1" applyFill="1" applyBorder="1" applyAlignment="1" applyProtection="1">
      <alignment horizontal="center"/>
      <protection/>
    </xf>
    <xf numFmtId="184" fontId="0" fillId="35" borderId="10" xfId="42" applyNumberFormat="1" applyFont="1" applyFill="1" applyBorder="1" applyAlignment="1" applyProtection="1">
      <alignment horizontal="center" vertical="center"/>
      <protection/>
    </xf>
    <xf numFmtId="3" fontId="8" fillId="36" borderId="32" xfId="0" applyNumberFormat="1" applyFont="1" applyFill="1" applyBorder="1" applyAlignment="1" applyProtection="1">
      <alignment horizontal="right"/>
      <protection/>
    </xf>
    <xf numFmtId="185" fontId="1" fillId="36" borderId="33" xfId="42" applyNumberFormat="1" applyFont="1" applyFill="1" applyBorder="1" applyAlignment="1" applyProtection="1">
      <alignment horizontal="center"/>
      <protection/>
    </xf>
    <xf numFmtId="175" fontId="1" fillId="0" borderId="19" xfId="42" applyNumberFormat="1" applyFont="1" applyBorder="1" applyAlignment="1" applyProtection="1">
      <alignment horizontal="center"/>
      <protection/>
    </xf>
    <xf numFmtId="185" fontId="0" fillId="35" borderId="26" xfId="42" applyNumberFormat="1" applyFont="1" applyFill="1" applyBorder="1" applyAlignment="1" applyProtection="1">
      <alignment horizontal="center"/>
      <protection/>
    </xf>
    <xf numFmtId="3" fontId="0" fillId="0" borderId="15" xfId="0" applyNumberFormat="1" applyBorder="1" applyAlignment="1" applyProtection="1">
      <alignment/>
      <protection/>
    </xf>
    <xf numFmtId="185" fontId="0" fillId="35" borderId="26" xfId="0" applyNumberFormat="1" applyFont="1" applyFill="1" applyBorder="1" applyAlignment="1" applyProtection="1">
      <alignment horizontal="center"/>
      <protection/>
    </xf>
    <xf numFmtId="185" fontId="1" fillId="35" borderId="26" xfId="42" applyNumberFormat="1" applyFont="1" applyFill="1" applyBorder="1" applyAlignment="1" applyProtection="1">
      <alignment horizontal="center"/>
      <protection/>
    </xf>
    <xf numFmtId="3" fontId="0" fillId="0" borderId="15" xfId="42" applyNumberFormat="1" applyFont="1" applyBorder="1" applyAlignment="1" applyProtection="1">
      <alignment horizontal="center"/>
      <protection/>
    </xf>
    <xf numFmtId="175" fontId="2" fillId="0" borderId="14" xfId="42" applyNumberFormat="1" applyFont="1" applyBorder="1" applyAlignment="1" applyProtection="1">
      <alignment horizontal="right" vertical="center"/>
      <protection/>
    </xf>
    <xf numFmtId="3" fontId="0" fillId="35" borderId="10" xfId="0" applyNumberFormat="1" applyFill="1" applyBorder="1" applyAlignment="1" applyProtection="1">
      <alignment horizontal="center" vertical="center"/>
      <protection/>
    </xf>
    <xf numFmtId="185" fontId="0" fillId="35" borderId="11" xfId="42" applyNumberFormat="1" applyFont="1" applyFill="1" applyBorder="1" applyAlignment="1" applyProtection="1">
      <alignment horizontal="center" vertical="center"/>
      <protection/>
    </xf>
    <xf numFmtId="176" fontId="0" fillId="33" borderId="0" xfId="42" applyNumberFormat="1" applyFont="1" applyFill="1" applyBorder="1" applyAlignment="1" applyProtection="1">
      <alignment horizontal="left" vertical="center"/>
      <protection locked="0"/>
    </xf>
    <xf numFmtId="3" fontId="0" fillId="0" borderId="0" xfId="42" applyNumberFormat="1" applyFont="1" applyBorder="1" applyAlignment="1" applyProtection="1">
      <alignment/>
      <protection locked="0"/>
    </xf>
    <xf numFmtId="175" fontId="0" fillId="0" borderId="27" xfId="42" applyNumberFormat="1" applyFont="1" applyBorder="1" applyAlignment="1" applyProtection="1">
      <alignment/>
      <protection locked="0"/>
    </xf>
    <xf numFmtId="181" fontId="1" fillId="36" borderId="34" xfId="42" applyNumberFormat="1" applyFont="1" applyFill="1" applyBorder="1" applyAlignment="1" applyProtection="1">
      <alignment horizontal="right" vertical="center"/>
      <protection/>
    </xf>
    <xf numFmtId="181" fontId="1" fillId="0" borderId="0" xfId="42" applyNumberFormat="1" applyFont="1" applyFill="1" applyBorder="1" applyAlignment="1" applyProtection="1">
      <alignment horizontal="center" vertical="center"/>
      <protection locked="0"/>
    </xf>
    <xf numFmtId="181" fontId="1" fillId="0" borderId="10" xfId="42" applyNumberFormat="1" applyFont="1" applyFill="1" applyBorder="1" applyAlignment="1" applyProtection="1">
      <alignment horizontal="center" vertical="center"/>
      <protection locked="0"/>
    </xf>
    <xf numFmtId="181" fontId="1" fillId="0" borderId="10" xfId="42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vertical="center"/>
      <protection/>
    </xf>
    <xf numFmtId="175" fontId="0" fillId="36" borderId="29" xfId="42" applyNumberFormat="1" applyFont="1" applyFill="1" applyBorder="1" applyAlignment="1" applyProtection="1">
      <alignment horizontal="left"/>
      <protection locked="0"/>
    </xf>
    <xf numFmtId="175" fontId="0" fillId="36" borderId="30" xfId="42" applyNumberFormat="1" applyFont="1" applyFill="1" applyBorder="1" applyAlignment="1" applyProtection="1">
      <alignment horizontal="left"/>
      <protection locked="0"/>
    </xf>
    <xf numFmtId="0" fontId="9" fillId="36" borderId="14" xfId="0" applyFont="1" applyFill="1" applyBorder="1" applyAlignment="1" applyProtection="1">
      <alignment/>
      <protection locked="0"/>
    </xf>
    <xf numFmtId="3" fontId="1" fillId="36" borderId="12" xfId="42" applyNumberFormat="1" applyFont="1" applyFill="1" applyBorder="1" applyAlignment="1" applyProtection="1">
      <alignment horizontal="center"/>
      <protection/>
    </xf>
    <xf numFmtId="182" fontId="1" fillId="36" borderId="14" xfId="42" applyNumberFormat="1" applyFont="1" applyFill="1" applyBorder="1" applyAlignment="1" applyProtection="1">
      <alignment horizontal="center"/>
      <protection/>
    </xf>
    <xf numFmtId="175" fontId="1" fillId="36" borderId="27" xfId="42" applyNumberFormat="1" applyFont="1" applyFill="1" applyBorder="1" applyAlignment="1" applyProtection="1">
      <alignment horizontal="center"/>
      <protection locked="0"/>
    </xf>
    <xf numFmtId="0" fontId="2" fillId="36" borderId="14" xfId="0" applyFont="1" applyFill="1" applyBorder="1" applyAlignment="1" applyProtection="1">
      <alignment horizontal="right" vertical="center" wrapText="1"/>
      <protection/>
    </xf>
    <xf numFmtId="3" fontId="1" fillId="36" borderId="29" xfId="42" applyNumberFormat="1" applyFont="1" applyFill="1" applyBorder="1" applyAlignment="1" applyProtection="1">
      <alignment horizontal="right"/>
      <protection/>
    </xf>
    <xf numFmtId="3" fontId="1" fillId="36" borderId="27" xfId="42" applyNumberFormat="1" applyFont="1" applyFill="1" applyBorder="1" applyAlignment="1" applyProtection="1">
      <alignment horizontal="right"/>
      <protection/>
    </xf>
    <xf numFmtId="181" fontId="0" fillId="36" borderId="27" xfId="42" applyNumberFormat="1" applyFont="1" applyFill="1" applyBorder="1" applyAlignment="1" applyProtection="1">
      <alignment horizontal="center"/>
      <protection/>
    </xf>
    <xf numFmtId="3" fontId="7" fillId="34" borderId="16" xfId="42" applyNumberFormat="1" applyFont="1" applyFill="1" applyBorder="1" applyAlignment="1" applyProtection="1">
      <alignment/>
      <protection/>
    </xf>
    <xf numFmtId="3" fontId="0" fillId="34" borderId="35" xfId="42" applyNumberFormat="1" applyFont="1" applyFill="1" applyBorder="1" applyAlignment="1" applyProtection="1">
      <alignment horizontal="center"/>
      <protection/>
    </xf>
    <xf numFmtId="0" fontId="4" fillId="34" borderId="28" xfId="0" applyFont="1" applyFill="1" applyBorder="1" applyAlignment="1" applyProtection="1">
      <alignment/>
      <protection locked="0"/>
    </xf>
    <xf numFmtId="3" fontId="1" fillId="0" borderId="18" xfId="42" applyNumberFormat="1" applyFont="1" applyFill="1" applyBorder="1" applyAlignment="1" applyProtection="1">
      <alignment horizontal="center"/>
      <protection/>
    </xf>
    <xf numFmtId="4" fontId="2" fillId="0" borderId="0" xfId="42" applyNumberFormat="1" applyFont="1" applyFill="1" applyBorder="1" applyAlignment="1" applyProtection="1">
      <alignment horizontal="right" vertical="center"/>
      <protection/>
    </xf>
    <xf numFmtId="175" fontId="15" fillId="0" borderId="15" xfId="42" applyNumberFormat="1" applyFont="1" applyFill="1" applyBorder="1" applyAlignment="1" applyProtection="1">
      <alignment horizontal="right" vertical="center"/>
      <protection/>
    </xf>
    <xf numFmtId="175" fontId="0" fillId="0" borderId="14" xfId="42" applyNumberFormat="1" applyFont="1" applyFill="1" applyBorder="1" applyAlignment="1" applyProtection="1">
      <alignment horizontal="right" vertical="center"/>
      <protection/>
    </xf>
    <xf numFmtId="3" fontId="0" fillId="35" borderId="0" xfId="0" applyNumberFormat="1" applyFill="1" applyBorder="1" applyAlignment="1" applyProtection="1">
      <alignment horizontal="center" vertical="center"/>
      <protection/>
    </xf>
    <xf numFmtId="183" fontId="2" fillId="36" borderId="0" xfId="42" applyNumberFormat="1" applyFont="1" applyFill="1" applyBorder="1" applyAlignment="1" applyProtection="1">
      <alignment horizontal="center" vertical="center"/>
      <protection/>
    </xf>
    <xf numFmtId="175" fontId="11" fillId="36" borderId="12" xfId="42" applyNumberFormat="1" applyFont="1" applyFill="1" applyBorder="1" applyAlignment="1" applyProtection="1">
      <alignment horizontal="left"/>
      <protection/>
    </xf>
    <xf numFmtId="3" fontId="13" fillId="36" borderId="13" xfId="42" applyNumberFormat="1" applyFont="1" applyFill="1" applyBorder="1" applyAlignment="1" applyProtection="1">
      <alignment/>
      <protection/>
    </xf>
    <xf numFmtId="175" fontId="16" fillId="36" borderId="19" xfId="42" applyNumberFormat="1" applyFont="1" applyFill="1" applyBorder="1" applyAlignment="1" applyProtection="1">
      <alignment horizontal="center"/>
      <protection/>
    </xf>
    <xf numFmtId="181" fontId="0" fillId="36" borderId="10" xfId="42" applyNumberFormat="1" applyFont="1" applyFill="1" applyBorder="1" applyAlignment="1" applyProtection="1">
      <alignment horizontal="center" vertical="center"/>
      <protection/>
    </xf>
    <xf numFmtId="181" fontId="0" fillId="36" borderId="10" xfId="42" applyNumberFormat="1" applyFont="1" applyFill="1" applyBorder="1" applyAlignment="1" applyProtection="1">
      <alignment horizontal="left" vertical="center"/>
      <protection/>
    </xf>
    <xf numFmtId="186" fontId="9" fillId="36" borderId="26" xfId="42" applyNumberFormat="1" applyFont="1" applyFill="1" applyBorder="1" applyAlignment="1" applyProtection="1">
      <alignment horizontal="center"/>
      <protection/>
    </xf>
    <xf numFmtId="181" fontId="0" fillId="36" borderId="0" xfId="42" applyNumberFormat="1" applyFont="1" applyFill="1" applyBorder="1" applyAlignment="1" applyProtection="1">
      <alignment horizontal="center" vertical="center"/>
      <protection/>
    </xf>
    <xf numFmtId="3" fontId="14" fillId="36" borderId="15" xfId="42" applyNumberFormat="1" applyFont="1" applyFill="1" applyBorder="1" applyAlignment="1" applyProtection="1">
      <alignment/>
      <protection/>
    </xf>
    <xf numFmtId="3" fontId="3" fillId="36" borderId="0" xfId="42" applyNumberFormat="1" applyFont="1" applyFill="1" applyBorder="1" applyAlignment="1" applyProtection="1">
      <alignment horizontal="center"/>
      <protection/>
    </xf>
    <xf numFmtId="3" fontId="3" fillId="36" borderId="26" xfId="42" applyNumberFormat="1" applyFont="1" applyFill="1" applyBorder="1" applyAlignment="1" applyProtection="1">
      <alignment/>
      <protection/>
    </xf>
    <xf numFmtId="175" fontId="1" fillId="0" borderId="10" xfId="42" applyNumberFormat="1" applyFont="1" applyBorder="1" applyAlignment="1" applyProtection="1">
      <alignment horizontal="left"/>
      <protection/>
    </xf>
    <xf numFmtId="185" fontId="0" fillId="35" borderId="26" xfId="0" applyNumberFormat="1" applyFont="1" applyFill="1" applyBorder="1" applyAlignment="1" applyProtection="1">
      <alignment horizontal="center"/>
      <protection/>
    </xf>
    <xf numFmtId="3" fontId="7" fillId="35" borderId="16" xfId="42" applyNumberFormat="1" applyFont="1" applyFill="1" applyBorder="1" applyAlignment="1" applyProtection="1">
      <alignment horizontal="center"/>
      <protection/>
    </xf>
    <xf numFmtId="3" fontId="13" fillId="35" borderId="0" xfId="0" applyNumberFormat="1" applyFont="1" applyFill="1" applyBorder="1" applyAlignment="1" applyProtection="1">
      <alignment horizontal="center"/>
      <protection/>
    </xf>
    <xf numFmtId="3" fontId="13" fillId="35" borderId="13" xfId="0" applyNumberFormat="1" applyFont="1" applyFill="1" applyBorder="1" applyAlignment="1" applyProtection="1">
      <alignment horizontal="center"/>
      <protection/>
    </xf>
    <xf numFmtId="181" fontId="1" fillId="35" borderId="0" xfId="42" applyNumberFormat="1" applyFont="1" applyFill="1" applyBorder="1" applyAlignment="1" applyProtection="1">
      <alignment horizontal="center" vertical="center"/>
      <protection/>
    </xf>
    <xf numFmtId="181" fontId="1" fillId="35" borderId="10" xfId="42" applyNumberFormat="1" applyFont="1" applyFill="1" applyBorder="1" applyAlignment="1" applyProtection="1">
      <alignment horizontal="center" vertical="center"/>
      <protection/>
    </xf>
    <xf numFmtId="3" fontId="3" fillId="35" borderId="36" xfId="42" applyNumberFormat="1" applyFont="1" applyFill="1" applyBorder="1" applyAlignment="1" applyProtection="1">
      <alignment horizontal="center"/>
      <protection/>
    </xf>
    <xf numFmtId="3" fontId="0" fillId="35" borderId="13" xfId="0" applyNumberFormat="1" applyFill="1" applyBorder="1" applyAlignment="1" applyProtection="1">
      <alignment horizontal="center"/>
      <protection/>
    </xf>
    <xf numFmtId="3" fontId="0" fillId="35" borderId="10" xfId="0" applyNumberFormat="1" applyFill="1" applyBorder="1" applyAlignment="1" applyProtection="1">
      <alignment horizontal="center"/>
      <protection/>
    </xf>
    <xf numFmtId="3" fontId="3" fillId="35" borderId="0" xfId="0" applyNumberFormat="1" applyFont="1" applyFill="1" applyBorder="1" applyAlignment="1" applyProtection="1">
      <alignment horizontal="center"/>
      <protection/>
    </xf>
    <xf numFmtId="3" fontId="1" fillId="35" borderId="13" xfId="42" applyNumberFormat="1" applyFont="1" applyFill="1" applyBorder="1" applyAlignment="1" applyProtection="1">
      <alignment horizontal="center"/>
      <protection/>
    </xf>
    <xf numFmtId="3" fontId="0" fillId="35" borderId="0" xfId="42" applyNumberFormat="1" applyFont="1" applyFill="1" applyBorder="1" applyAlignment="1" applyProtection="1">
      <alignment horizontal="center"/>
      <protection/>
    </xf>
    <xf numFmtId="178" fontId="0" fillId="35" borderId="0" xfId="42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3" fontId="0" fillId="35" borderId="34" xfId="0" applyNumberFormat="1" applyFill="1" applyBorder="1" applyAlignment="1" applyProtection="1">
      <alignment horizontal="center" vertical="center"/>
      <protection/>
    </xf>
    <xf numFmtId="3" fontId="0" fillId="35" borderId="13" xfId="0" applyNumberFormat="1" applyFill="1" applyBorder="1" applyAlignment="1" applyProtection="1">
      <alignment horizontal="center" vertical="center"/>
      <protection/>
    </xf>
    <xf numFmtId="3" fontId="7" fillId="35" borderId="27" xfId="42" applyNumberFormat="1" applyFont="1" applyFill="1" applyBorder="1" applyAlignment="1" applyProtection="1">
      <alignment/>
      <protection/>
    </xf>
    <xf numFmtId="175" fontId="0" fillId="0" borderId="0" xfId="42" applyNumberFormat="1" applyFont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0" fontId="0" fillId="35" borderId="0" xfId="0" applyFill="1" applyBorder="1" applyAlignment="1" applyProtection="1">
      <alignment horizontal="center"/>
      <protection/>
    </xf>
    <xf numFmtId="2" fontId="0" fillId="35" borderId="0" xfId="0" applyNumberFormat="1" applyFill="1" applyBorder="1" applyAlignment="1" applyProtection="1">
      <alignment horizontal="center"/>
      <protection/>
    </xf>
    <xf numFmtId="3" fontId="8" fillId="35" borderId="37" xfId="0" applyNumberFormat="1" applyFont="1" applyFill="1" applyBorder="1" applyAlignment="1" applyProtection="1">
      <alignment horizontal="center"/>
      <protection/>
    </xf>
    <xf numFmtId="0" fontId="9" fillId="35" borderId="10" xfId="0" applyFont="1" applyFill="1" applyBorder="1" applyAlignment="1" applyProtection="1">
      <alignment/>
      <protection/>
    </xf>
    <xf numFmtId="187" fontId="2" fillId="35" borderId="0" xfId="42" applyNumberFormat="1" applyFont="1" applyFill="1" applyBorder="1" applyAlignment="1" applyProtection="1">
      <alignment/>
      <protection/>
    </xf>
    <xf numFmtId="3" fontId="0" fillId="35" borderId="27" xfId="0" applyNumberFormat="1" applyFill="1" applyBorder="1" applyAlignment="1" applyProtection="1">
      <alignment horizontal="center"/>
      <protection/>
    </xf>
    <xf numFmtId="175" fontId="0" fillId="0" borderId="0" xfId="0" applyNumberFormat="1" applyAlignment="1" applyProtection="1">
      <alignment horizontal="center"/>
      <protection/>
    </xf>
    <xf numFmtId="189" fontId="0" fillId="36" borderId="0" xfId="42" applyNumberFormat="1" applyFont="1" applyFill="1" applyBorder="1" applyAlignment="1" applyProtection="1">
      <alignment horizontal="left"/>
      <protection/>
    </xf>
    <xf numFmtId="175" fontId="7" fillId="35" borderId="0" xfId="42" applyNumberFormat="1" applyFont="1" applyFill="1" applyAlignment="1" applyProtection="1">
      <alignment horizontal="center"/>
      <protection/>
    </xf>
    <xf numFmtId="0" fontId="7" fillId="35" borderId="0" xfId="0" applyFont="1" applyFill="1" applyAlignment="1" applyProtection="1">
      <alignment horizontal="center"/>
      <protection/>
    </xf>
    <xf numFmtId="2" fontId="7" fillId="35" borderId="0" xfId="0" applyNumberFormat="1" applyFont="1" applyFill="1" applyAlignment="1" applyProtection="1">
      <alignment horizontal="center"/>
      <protection/>
    </xf>
    <xf numFmtId="0" fontId="7" fillId="35" borderId="0" xfId="0" applyFont="1" applyFill="1" applyAlignment="1" applyProtection="1">
      <alignment/>
      <protection/>
    </xf>
    <xf numFmtId="175" fontId="3" fillId="35" borderId="0" xfId="42" applyNumberFormat="1" applyFont="1" applyFill="1" applyBorder="1" applyAlignment="1" applyProtection="1">
      <alignment horizontal="center"/>
      <protection/>
    </xf>
    <xf numFmtId="2" fontId="0" fillId="35" borderId="0" xfId="0" applyNumberFormat="1" applyFill="1" applyAlignment="1" applyProtection="1">
      <alignment horizontal="center"/>
      <protection/>
    </xf>
    <xf numFmtId="0" fontId="5" fillId="35" borderId="0" xfId="0" applyFont="1" applyFill="1" applyAlignment="1" applyProtection="1">
      <alignment/>
      <protection/>
    </xf>
    <xf numFmtId="175" fontId="13" fillId="35" borderId="0" xfId="42" applyNumberFormat="1" applyFont="1" applyFill="1" applyBorder="1" applyAlignment="1" applyProtection="1">
      <alignment horizontal="center"/>
      <protection/>
    </xf>
    <xf numFmtId="0" fontId="11" fillId="35" borderId="0" xfId="0" applyFont="1" applyFill="1" applyAlignment="1" applyProtection="1">
      <alignment horizontal="center"/>
      <protection/>
    </xf>
    <xf numFmtId="2" fontId="11" fillId="35" borderId="0" xfId="0" applyNumberFormat="1" applyFont="1" applyFill="1" applyAlignment="1" applyProtection="1">
      <alignment horizontal="center"/>
      <protection/>
    </xf>
    <xf numFmtId="0" fontId="11" fillId="35" borderId="0" xfId="0" applyFont="1" applyFill="1" applyAlignment="1" applyProtection="1">
      <alignment/>
      <protection/>
    </xf>
    <xf numFmtId="175" fontId="1" fillId="35" borderId="0" xfId="42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175" fontId="0" fillId="35" borderId="0" xfId="42" applyNumberFormat="1" applyFont="1" applyFill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2" fontId="0" fillId="35" borderId="0" xfId="0" applyNumberForma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/>
      <protection/>
    </xf>
    <xf numFmtId="175" fontId="0" fillId="35" borderId="0" xfId="42" applyNumberFormat="1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42" applyNumberFormat="1" applyFont="1" applyFill="1" applyBorder="1" applyAlignment="1" applyProtection="1">
      <alignment horizontal="center"/>
      <protection/>
    </xf>
    <xf numFmtId="175" fontId="0" fillId="35" borderId="0" xfId="42" applyNumberFormat="1" applyFont="1" applyFill="1" applyAlignment="1" applyProtection="1">
      <alignment horizontal="center"/>
      <protection/>
    </xf>
    <xf numFmtId="0" fontId="5" fillId="35" borderId="0" xfId="0" applyFont="1" applyFill="1" applyAlignment="1" applyProtection="1">
      <alignment horizontal="center"/>
      <protection/>
    </xf>
    <xf numFmtId="2" fontId="0" fillId="35" borderId="0" xfId="0" applyNumberFormat="1" applyFill="1" applyBorder="1" applyAlignment="1" applyProtection="1">
      <alignment horizontal="center" vertical="center"/>
      <protection/>
    </xf>
    <xf numFmtId="0" fontId="9" fillId="35" borderId="0" xfId="0" applyFont="1" applyFill="1" applyAlignment="1" applyProtection="1">
      <alignment horizontal="center"/>
      <protection/>
    </xf>
    <xf numFmtId="2" fontId="9" fillId="35" borderId="0" xfId="0" applyNumberFormat="1" applyFont="1" applyFill="1" applyAlignment="1" applyProtection="1">
      <alignment horizontal="center"/>
      <protection/>
    </xf>
    <xf numFmtId="0" fontId="9" fillId="35" borderId="0" xfId="0" applyFont="1" applyFill="1" applyAlignment="1" applyProtection="1">
      <alignment/>
      <protection/>
    </xf>
    <xf numFmtId="3" fontId="0" fillId="35" borderId="0" xfId="42" applyNumberFormat="1" applyFont="1" applyFill="1" applyBorder="1" applyAlignment="1" applyProtection="1">
      <alignment horizontal="center"/>
      <protection/>
    </xf>
    <xf numFmtId="3" fontId="0" fillId="35" borderId="0" xfId="42" applyNumberFormat="1" applyFont="1" applyFill="1" applyBorder="1" applyAlignment="1" applyProtection="1">
      <alignment/>
      <protection/>
    </xf>
    <xf numFmtId="4" fontId="0" fillId="35" borderId="0" xfId="42" applyNumberFormat="1" applyFont="1" applyFill="1" applyBorder="1" applyAlignment="1" applyProtection="1">
      <alignment horizontal="center"/>
      <protection/>
    </xf>
    <xf numFmtId="187" fontId="0" fillId="35" borderId="0" xfId="42" applyNumberFormat="1" applyFont="1" applyFill="1" applyBorder="1" applyAlignment="1" applyProtection="1">
      <alignment horizontal="center"/>
      <protection/>
    </xf>
    <xf numFmtId="2" fontId="5" fillId="35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178" fontId="0" fillId="33" borderId="0" xfId="42" applyNumberFormat="1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right"/>
      <protection locked="0"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 horizontal="center"/>
      <protection/>
    </xf>
    <xf numFmtId="4" fontId="0" fillId="35" borderId="0" xfId="0" applyNumberFormat="1" applyFont="1" applyFill="1" applyAlignment="1" applyProtection="1">
      <alignment horizontal="center"/>
      <protection/>
    </xf>
    <xf numFmtId="178" fontId="0" fillId="33" borderId="0" xfId="42" applyNumberFormat="1" applyFont="1" applyFill="1" applyBorder="1" applyAlignment="1" applyProtection="1">
      <alignment horizontal="center"/>
      <protection/>
    </xf>
    <xf numFmtId="175" fontId="11" fillId="36" borderId="15" xfId="42" applyNumberFormat="1" applyFont="1" applyFill="1" applyBorder="1" applyAlignment="1" applyProtection="1">
      <alignment horizontal="left"/>
      <protection/>
    </xf>
    <xf numFmtId="3" fontId="13" fillId="36" borderId="0" xfId="42" applyNumberFormat="1" applyFont="1" applyFill="1" applyBorder="1" applyAlignment="1" applyProtection="1">
      <alignment/>
      <protection/>
    </xf>
    <xf numFmtId="175" fontId="16" fillId="36" borderId="26" xfId="42" applyNumberFormat="1" applyFont="1" applyFill="1" applyBorder="1" applyAlignment="1" applyProtection="1">
      <alignment horizontal="center"/>
      <protection/>
    </xf>
    <xf numFmtId="3" fontId="13" fillId="35" borderId="16" xfId="0" applyNumberFormat="1" applyFont="1" applyFill="1" applyBorder="1" applyAlignment="1" applyProtection="1">
      <alignment horizontal="center"/>
      <protection/>
    </xf>
    <xf numFmtId="175" fontId="13" fillId="35" borderId="16" xfId="42" applyNumberFormat="1" applyFont="1" applyFill="1" applyBorder="1" applyAlignment="1" applyProtection="1">
      <alignment horizontal="center"/>
      <protection/>
    </xf>
    <xf numFmtId="0" fontId="11" fillId="35" borderId="16" xfId="0" applyFont="1" applyFill="1" applyBorder="1" applyAlignment="1" applyProtection="1">
      <alignment horizontal="center"/>
      <protection/>
    </xf>
    <xf numFmtId="2" fontId="11" fillId="35" borderId="16" xfId="0" applyNumberFormat="1" applyFont="1" applyFill="1" applyBorder="1" applyAlignment="1" applyProtection="1">
      <alignment horizontal="center"/>
      <protection/>
    </xf>
    <xf numFmtId="0" fontId="11" fillId="35" borderId="16" xfId="0" applyFont="1" applyFill="1" applyBorder="1" applyAlignment="1" applyProtection="1">
      <alignment/>
      <protection/>
    </xf>
    <xf numFmtId="175" fontId="16" fillId="36" borderId="38" xfId="42" applyNumberFormat="1" applyFont="1" applyFill="1" applyBorder="1" applyAlignment="1" applyProtection="1">
      <alignment horizontal="center"/>
      <protection/>
    </xf>
    <xf numFmtId="181" fontId="0" fillId="34" borderId="24" xfId="42" applyNumberFormat="1" applyFont="1" applyFill="1" applyBorder="1" applyAlignment="1" applyProtection="1">
      <alignment horizontal="center"/>
      <protection locked="0"/>
    </xf>
    <xf numFmtId="3" fontId="13" fillId="35" borderId="24" xfId="0" applyNumberFormat="1" applyFont="1" applyFill="1" applyBorder="1" applyAlignment="1" applyProtection="1">
      <alignment horizontal="center"/>
      <protection/>
    </xf>
    <xf numFmtId="175" fontId="13" fillId="35" borderId="24" xfId="42" applyNumberFormat="1" applyFont="1" applyFill="1" applyBorder="1" applyAlignment="1" applyProtection="1">
      <alignment horizontal="center"/>
      <protection/>
    </xf>
    <xf numFmtId="0" fontId="11" fillId="35" borderId="24" xfId="0" applyFont="1" applyFill="1" applyBorder="1" applyAlignment="1" applyProtection="1">
      <alignment horizontal="center"/>
      <protection/>
    </xf>
    <xf numFmtId="2" fontId="11" fillId="35" borderId="24" xfId="0" applyNumberFormat="1" applyFont="1" applyFill="1" applyBorder="1" applyAlignment="1" applyProtection="1">
      <alignment horizontal="center"/>
      <protection/>
    </xf>
    <xf numFmtId="0" fontId="11" fillId="35" borderId="24" xfId="0" applyFont="1" applyFill="1" applyBorder="1" applyAlignment="1" applyProtection="1">
      <alignment/>
      <protection/>
    </xf>
    <xf numFmtId="3" fontId="13" fillId="36" borderId="16" xfId="42" applyNumberFormat="1" applyFont="1" applyFill="1" applyBorder="1" applyAlignment="1" applyProtection="1">
      <alignment horizontal="center"/>
      <protection/>
    </xf>
    <xf numFmtId="175" fontId="18" fillId="36" borderId="39" xfId="42" applyNumberFormat="1" applyFont="1" applyFill="1" applyBorder="1" applyAlignment="1" applyProtection="1">
      <alignment horizontal="center"/>
      <protection/>
    </xf>
    <xf numFmtId="175" fontId="1" fillId="36" borderId="0" xfId="42" applyNumberFormat="1" applyFont="1" applyFill="1" applyBorder="1" applyAlignment="1" applyProtection="1">
      <alignment/>
      <protection/>
    </xf>
    <xf numFmtId="3" fontId="0" fillId="35" borderId="40" xfId="0" applyNumberFormat="1" applyFill="1" applyBorder="1" applyAlignment="1" applyProtection="1">
      <alignment horizontal="center" vertical="center"/>
      <protection/>
    </xf>
    <xf numFmtId="175" fontId="0" fillId="35" borderId="24" xfId="42" applyNumberFormat="1" applyFont="1" applyFill="1" applyBorder="1" applyAlignment="1" applyProtection="1">
      <alignment horizontal="center" vertical="center"/>
      <protection/>
    </xf>
    <xf numFmtId="0" fontId="0" fillId="35" borderId="24" xfId="0" applyFill="1" applyBorder="1" applyAlignment="1" applyProtection="1">
      <alignment horizontal="center" vertical="center"/>
      <protection/>
    </xf>
    <xf numFmtId="2" fontId="0" fillId="35" borderId="24" xfId="0" applyNumberFormat="1" applyFill="1" applyBorder="1" applyAlignment="1" applyProtection="1">
      <alignment horizontal="center" vertical="center"/>
      <protection/>
    </xf>
    <xf numFmtId="0" fontId="0" fillId="35" borderId="24" xfId="0" applyFill="1" applyBorder="1" applyAlignment="1" applyProtection="1">
      <alignment vertical="center"/>
      <protection/>
    </xf>
    <xf numFmtId="189" fontId="0" fillId="36" borderId="0" xfId="42" applyNumberFormat="1" applyFont="1" applyFill="1" applyBorder="1" applyAlignment="1" applyProtection="1">
      <alignment horizontal="center" vertical="center"/>
      <protection/>
    </xf>
    <xf numFmtId="189" fontId="0" fillId="36" borderId="24" xfId="42" applyNumberFormat="1" applyFont="1" applyFill="1" applyBorder="1" applyAlignment="1" applyProtection="1">
      <alignment horizontal="center" vertical="center"/>
      <protection/>
    </xf>
    <xf numFmtId="189" fontId="0" fillId="36" borderId="26" xfId="42" applyNumberFormat="1" applyFont="1" applyFill="1" applyBorder="1" applyAlignment="1" applyProtection="1">
      <alignment horizontal="right" vertical="center"/>
      <protection/>
    </xf>
    <xf numFmtId="189" fontId="0" fillId="36" borderId="26" xfId="0" applyNumberFormat="1" applyFont="1" applyFill="1" applyBorder="1" applyAlignment="1" applyProtection="1">
      <alignment horizontal="right" vertical="center"/>
      <protection/>
    </xf>
    <xf numFmtId="189" fontId="1" fillId="36" borderId="41" xfId="42" applyNumberFormat="1" applyFont="1" applyFill="1" applyBorder="1" applyAlignment="1" applyProtection="1">
      <alignment horizontal="right" vertical="center"/>
      <protection/>
    </xf>
    <xf numFmtId="181" fontId="1" fillId="36" borderId="26" xfId="42" applyNumberFormat="1" applyFont="1" applyFill="1" applyBorder="1" applyAlignment="1" applyProtection="1">
      <alignment horizontal="right" vertical="center"/>
      <protection locked="0"/>
    </xf>
    <xf numFmtId="181" fontId="1" fillId="36" borderId="11" xfId="42" applyNumberFormat="1" applyFont="1" applyFill="1" applyBorder="1" applyAlignment="1" applyProtection="1">
      <alignment horizontal="right" vertical="center"/>
      <protection/>
    </xf>
    <xf numFmtId="189" fontId="0" fillId="36" borderId="19" xfId="42" applyNumberFormat="1" applyFont="1" applyFill="1" applyBorder="1" applyAlignment="1" applyProtection="1">
      <alignment horizontal="right" vertical="center"/>
      <protection/>
    </xf>
    <xf numFmtId="189" fontId="1" fillId="36" borderId="11" xfId="42" applyNumberFormat="1" applyFont="1" applyFill="1" applyBorder="1" applyAlignment="1" applyProtection="1">
      <alignment horizontal="right" vertical="center"/>
      <protection/>
    </xf>
    <xf numFmtId="175" fontId="19" fillId="36" borderId="42" xfId="42" applyNumberFormat="1" applyFont="1" applyFill="1" applyBorder="1" applyAlignment="1" applyProtection="1">
      <alignment horizontal="center"/>
      <protection/>
    </xf>
    <xf numFmtId="3" fontId="20" fillId="34" borderId="22" xfId="42" applyNumberFormat="1" applyFont="1" applyFill="1" applyBorder="1" applyAlignment="1" applyProtection="1">
      <alignment horizontal="left"/>
      <protection/>
    </xf>
    <xf numFmtId="3" fontId="21" fillId="34" borderId="22" xfId="42" applyNumberFormat="1" applyFont="1" applyFill="1" applyBorder="1" applyAlignment="1" applyProtection="1">
      <alignment/>
      <protection/>
    </xf>
    <xf numFmtId="3" fontId="21" fillId="35" borderId="22" xfId="0" applyNumberFormat="1" applyFont="1" applyFill="1" applyBorder="1" applyAlignment="1" applyProtection="1">
      <alignment horizontal="center"/>
      <protection/>
    </xf>
    <xf numFmtId="175" fontId="21" fillId="35" borderId="0" xfId="42" applyNumberFormat="1" applyFont="1" applyFill="1" applyBorder="1" applyAlignment="1" applyProtection="1">
      <alignment horizontal="center"/>
      <protection/>
    </xf>
    <xf numFmtId="0" fontId="20" fillId="35" borderId="0" xfId="0" applyFont="1" applyFill="1" applyAlignment="1" applyProtection="1">
      <alignment horizontal="center"/>
      <protection/>
    </xf>
    <xf numFmtId="2" fontId="20" fillId="35" borderId="0" xfId="0" applyNumberFormat="1" applyFont="1" applyFill="1" applyAlignment="1" applyProtection="1">
      <alignment horizontal="center"/>
      <protection/>
    </xf>
    <xf numFmtId="0" fontId="20" fillId="35" borderId="0" xfId="0" applyFont="1" applyFill="1" applyAlignment="1" applyProtection="1">
      <alignment/>
      <protection/>
    </xf>
    <xf numFmtId="175" fontId="21" fillId="34" borderId="43" xfId="42" applyNumberFormat="1" applyFont="1" applyFill="1" applyBorder="1" applyAlignment="1" applyProtection="1">
      <alignment horizontal="center"/>
      <protection/>
    </xf>
    <xf numFmtId="183" fontId="2" fillId="36" borderId="10" xfId="42" applyNumberFormat="1" applyFont="1" applyFill="1" applyBorder="1" applyAlignment="1" applyProtection="1">
      <alignment horizontal="center" vertical="center"/>
      <protection/>
    </xf>
    <xf numFmtId="181" fontId="1" fillId="36" borderId="0" xfId="42" applyNumberFormat="1" applyFont="1" applyFill="1" applyBorder="1" applyAlignment="1" applyProtection="1">
      <alignment horizontal="right" vertical="center"/>
      <protection/>
    </xf>
    <xf numFmtId="181" fontId="1" fillId="36" borderId="10" xfId="42" applyNumberFormat="1" applyFont="1" applyFill="1" applyBorder="1" applyAlignment="1" applyProtection="1">
      <alignment horizontal="right" vertical="center"/>
      <protection/>
    </xf>
    <xf numFmtId="0" fontId="0" fillId="36" borderId="0" xfId="0" applyFill="1" applyBorder="1" applyAlignment="1" applyProtection="1">
      <alignment vertical="center"/>
      <protection locked="0"/>
    </xf>
    <xf numFmtId="3" fontId="1" fillId="34" borderId="20" xfId="42" applyNumberFormat="1" applyFont="1" applyFill="1" applyBorder="1" applyAlignment="1" applyProtection="1">
      <alignment horizontal="center"/>
      <protection/>
    </xf>
    <xf numFmtId="3" fontId="0" fillId="0" borderId="0" xfId="42" applyNumberFormat="1" applyFont="1" applyBorder="1" applyAlignment="1" applyProtection="1">
      <alignment/>
      <protection locked="0"/>
    </xf>
    <xf numFmtId="187" fontId="0" fillId="35" borderId="0" xfId="42" applyNumberFormat="1" applyFont="1" applyFill="1" applyBorder="1" applyAlignment="1" applyProtection="1">
      <alignment/>
      <protection/>
    </xf>
    <xf numFmtId="2" fontId="0" fillId="35" borderId="0" xfId="0" applyNumberFormat="1" applyFont="1" applyFill="1" applyAlignment="1" applyProtection="1">
      <alignment horizontal="center"/>
      <protection/>
    </xf>
    <xf numFmtId="3" fontId="1" fillId="0" borderId="0" xfId="42" applyNumberFormat="1" applyFont="1" applyBorder="1" applyAlignment="1" applyProtection="1">
      <alignment horizontal="right"/>
      <protection locked="0"/>
    </xf>
    <xf numFmtId="176" fontId="1" fillId="0" borderId="44" xfId="42" applyNumberFormat="1" applyFont="1" applyFill="1" applyBorder="1" applyAlignment="1" applyProtection="1">
      <alignment horizontal="center"/>
      <protection locked="0"/>
    </xf>
    <xf numFmtId="3" fontId="0" fillId="35" borderId="0" xfId="42" applyNumberFormat="1" applyFont="1" applyFill="1" applyBorder="1" applyAlignment="1" applyProtection="1">
      <alignment horizontal="left"/>
      <protection locked="0"/>
    </xf>
    <xf numFmtId="186" fontId="1" fillId="36" borderId="44" xfId="42" applyNumberFormat="1" applyFont="1" applyFill="1" applyBorder="1" applyAlignment="1" applyProtection="1">
      <alignment horizontal="center"/>
      <protection/>
    </xf>
    <xf numFmtId="176" fontId="1" fillId="0" borderId="45" xfId="42" applyNumberFormat="1" applyFont="1" applyFill="1" applyBorder="1" applyAlignment="1" applyProtection="1">
      <alignment horizontal="center"/>
      <protection locked="0"/>
    </xf>
    <xf numFmtId="3" fontId="0" fillId="35" borderId="0" xfId="42" applyNumberFormat="1" applyFont="1" applyFill="1" applyBorder="1" applyAlignment="1" applyProtection="1">
      <alignment horizontal="center"/>
      <protection locked="0"/>
    </xf>
    <xf numFmtId="189" fontId="0" fillId="36" borderId="0" xfId="42" applyNumberFormat="1" applyFont="1" applyFill="1" applyBorder="1" applyAlignment="1" applyProtection="1">
      <alignment horizontal="center"/>
      <protection/>
    </xf>
    <xf numFmtId="186" fontId="1" fillId="36" borderId="46" xfId="42" applyNumberFormat="1" applyFont="1" applyFill="1" applyBorder="1" applyAlignment="1" applyProtection="1">
      <alignment horizontal="center"/>
      <protection/>
    </xf>
    <xf numFmtId="189" fontId="0" fillId="35" borderId="26" xfId="42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 locked="0"/>
    </xf>
    <xf numFmtId="186" fontId="1" fillId="36" borderId="33" xfId="42" applyNumberFormat="1" applyFont="1" applyFill="1" applyBorder="1" applyAlignment="1" applyProtection="1">
      <alignment horizontal="center"/>
      <protection/>
    </xf>
    <xf numFmtId="193" fontId="1" fillId="36" borderId="45" xfId="42" applyNumberFormat="1" applyFont="1" applyFill="1" applyBorder="1" applyAlignment="1" applyProtection="1">
      <alignment horizontal="center"/>
      <protection/>
    </xf>
    <xf numFmtId="178" fontId="0" fillId="34" borderId="0" xfId="42" applyNumberFormat="1" applyFont="1" applyFill="1" applyBorder="1" applyAlignment="1" applyProtection="1">
      <alignment horizontal="center"/>
      <protection locked="0"/>
    </xf>
    <xf numFmtId="0" fontId="1" fillId="34" borderId="15" xfId="0" applyFont="1" applyFill="1" applyBorder="1" applyAlignment="1" applyProtection="1">
      <alignment horizontal="right"/>
      <protection locked="0"/>
    </xf>
    <xf numFmtId="193" fontId="0" fillId="36" borderId="47" xfId="42" applyNumberFormat="1" applyFont="1" applyFill="1" applyBorder="1" applyAlignment="1" applyProtection="1">
      <alignment horizontal="center"/>
      <protection/>
    </xf>
    <xf numFmtId="2" fontId="0" fillId="0" borderId="0" xfId="42" applyNumberFormat="1" applyFont="1" applyFill="1" applyBorder="1" applyAlignment="1" applyProtection="1">
      <alignment horizontal="right"/>
      <protection locked="0"/>
    </xf>
    <xf numFmtId="189" fontId="0" fillId="36" borderId="0" xfId="42" applyNumberFormat="1" applyFont="1" applyFill="1" applyBorder="1" applyAlignment="1" applyProtection="1">
      <alignment horizontal="right" vertical="center"/>
      <protection/>
    </xf>
    <xf numFmtId="189" fontId="0" fillId="36" borderId="0" xfId="0" applyNumberFormat="1" applyFont="1" applyFill="1" applyBorder="1" applyAlignment="1" applyProtection="1">
      <alignment horizontal="right" vertical="center"/>
      <protection/>
    </xf>
    <xf numFmtId="189" fontId="1" fillId="36" borderId="34" xfId="42" applyNumberFormat="1" applyFont="1" applyFill="1" applyBorder="1" applyAlignment="1" applyProtection="1">
      <alignment horizontal="right" vertical="center"/>
      <protection/>
    </xf>
    <xf numFmtId="189" fontId="0" fillId="36" borderId="24" xfId="42" applyNumberFormat="1" applyFont="1" applyFill="1" applyBorder="1" applyAlignment="1" applyProtection="1">
      <alignment horizontal="right" vertical="center"/>
      <protection/>
    </xf>
    <xf numFmtId="175" fontId="22" fillId="0" borderId="0" xfId="42" applyNumberFormat="1" applyFont="1" applyFill="1" applyBorder="1" applyAlignment="1" applyProtection="1">
      <alignment/>
      <protection locked="0"/>
    </xf>
    <xf numFmtId="9" fontId="2" fillId="0" borderId="0" xfId="57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3" fontId="15" fillId="35" borderId="10" xfId="0" applyNumberFormat="1" applyFont="1" applyFill="1" applyBorder="1" applyAlignment="1" applyProtection="1">
      <alignment horizontal="center"/>
      <protection/>
    </xf>
    <xf numFmtId="0" fontId="15" fillId="35" borderId="0" xfId="0" applyFont="1" applyFill="1" applyBorder="1" applyAlignment="1" applyProtection="1">
      <alignment horizontal="center"/>
      <protection/>
    </xf>
    <xf numFmtId="2" fontId="15" fillId="35" borderId="0" xfId="0" applyNumberFormat="1" applyFont="1" applyFill="1" applyBorder="1" applyAlignment="1" applyProtection="1">
      <alignment horizontal="center"/>
      <protection/>
    </xf>
    <xf numFmtId="2" fontId="15" fillId="35" borderId="0" xfId="0" applyNumberFormat="1" applyFont="1" applyFill="1" applyAlignment="1" applyProtection="1">
      <alignment horizontal="center"/>
      <protection/>
    </xf>
    <xf numFmtId="0" fontId="15" fillId="35" borderId="0" xfId="0" applyFont="1" applyFill="1" applyAlignment="1" applyProtection="1">
      <alignment horizontal="center"/>
      <protection/>
    </xf>
    <xf numFmtId="0" fontId="15" fillId="35" borderId="0" xfId="0" applyFont="1" applyFill="1" applyAlignment="1" applyProtection="1">
      <alignment/>
      <protection/>
    </xf>
    <xf numFmtId="9" fontId="15" fillId="0" borderId="48" xfId="57" applyFont="1" applyFill="1" applyBorder="1" applyAlignment="1" applyProtection="1">
      <alignment horizontal="center"/>
      <protection locked="0"/>
    </xf>
    <xf numFmtId="9" fontId="15" fillId="0" borderId="45" xfId="57" applyFont="1" applyFill="1" applyBorder="1" applyAlignment="1" applyProtection="1">
      <alignment horizontal="center"/>
      <protection locked="0"/>
    </xf>
    <xf numFmtId="9" fontId="15" fillId="0" borderId="47" xfId="57" applyFont="1" applyFill="1" applyBorder="1" applyAlignment="1" applyProtection="1">
      <alignment horizontal="center"/>
      <protection locked="0"/>
    </xf>
    <xf numFmtId="9" fontId="2" fillId="0" borderId="10" xfId="57" applyFont="1" applyFill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right"/>
      <protection locked="0"/>
    </xf>
    <xf numFmtId="176" fontId="2" fillId="0" borderId="0" xfId="42" applyNumberFormat="1" applyFont="1" applyFill="1" applyBorder="1" applyAlignment="1" applyProtection="1">
      <alignment horizontal="center"/>
      <protection locked="0"/>
    </xf>
    <xf numFmtId="181" fontId="0" fillId="33" borderId="0" xfId="42" applyNumberFormat="1" applyFont="1" applyFill="1" applyBorder="1" applyAlignment="1" applyProtection="1">
      <alignment horizontal="center" vertical="center"/>
      <protection/>
    </xf>
    <xf numFmtId="181" fontId="0" fillId="36" borderId="0" xfId="42" applyNumberFormat="1" applyFont="1" applyFill="1" applyBorder="1" applyAlignment="1" applyProtection="1">
      <alignment horizontal="left" vertical="center"/>
      <protection/>
    </xf>
    <xf numFmtId="181" fontId="0" fillId="36" borderId="24" xfId="42" applyNumberFormat="1" applyFont="1" applyFill="1" applyBorder="1" applyAlignment="1" applyProtection="1">
      <alignment horizontal="left" vertical="center"/>
      <protection/>
    </xf>
    <xf numFmtId="181" fontId="0" fillId="33" borderId="24" xfId="42" applyNumberFormat="1" applyFont="1" applyFill="1" applyBorder="1" applyAlignment="1" applyProtection="1">
      <alignment horizontal="center" vertical="center"/>
      <protection/>
    </xf>
    <xf numFmtId="175" fontId="0" fillId="36" borderId="0" xfId="42" applyNumberFormat="1" applyFont="1" applyFill="1" applyBorder="1" applyAlignment="1" applyProtection="1">
      <alignment horizontal="right" vertical="center"/>
      <protection/>
    </xf>
    <xf numFmtId="0" fontId="0" fillId="36" borderId="0" xfId="0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/>
      <protection locked="0"/>
    </xf>
    <xf numFmtId="3" fontId="7" fillId="34" borderId="0" xfId="42" applyNumberFormat="1" applyFont="1" applyFill="1" applyAlignment="1" applyProtection="1">
      <alignment horizontal="left"/>
      <protection locked="0"/>
    </xf>
    <xf numFmtId="175" fontId="3" fillId="34" borderId="0" xfId="42" applyNumberFormat="1" applyFont="1" applyFill="1" applyBorder="1" applyAlignment="1" applyProtection="1">
      <alignment horizontal="left"/>
      <protection locked="0"/>
    </xf>
    <xf numFmtId="175" fontId="13" fillId="36" borderId="0" xfId="42" applyNumberFormat="1" applyFont="1" applyFill="1" applyBorder="1" applyAlignment="1" applyProtection="1">
      <alignment horizontal="left"/>
      <protection locked="0"/>
    </xf>
    <xf numFmtId="175" fontId="3" fillId="35" borderId="23" xfId="42" applyNumberFormat="1" applyFont="1" applyFill="1" applyBorder="1" applyAlignment="1" applyProtection="1">
      <alignment horizontal="left"/>
      <protection locked="0"/>
    </xf>
    <xf numFmtId="175" fontId="13" fillId="0" borderId="14" xfId="42" applyNumberFormat="1" applyFont="1" applyFill="1" applyBorder="1" applyAlignment="1" applyProtection="1">
      <alignment horizontal="left"/>
      <protection locked="0"/>
    </xf>
    <xf numFmtId="175" fontId="0" fillId="36" borderId="27" xfId="42" applyNumberFormat="1" applyFont="1" applyFill="1" applyBorder="1" applyAlignment="1" applyProtection="1">
      <alignment horizontal="center"/>
      <protection/>
    </xf>
    <xf numFmtId="175" fontId="0" fillId="0" borderId="10" xfId="42" applyNumberFormat="1" applyFont="1" applyBorder="1" applyAlignment="1" applyProtection="1">
      <alignment horizontal="center"/>
      <protection/>
    </xf>
    <xf numFmtId="3" fontId="15" fillId="35" borderId="20" xfId="42" applyNumberFormat="1" applyFont="1" applyFill="1" applyBorder="1" applyAlignment="1" applyProtection="1">
      <alignment horizontal="center"/>
      <protection/>
    </xf>
    <xf numFmtId="182" fontId="15" fillId="35" borderId="18" xfId="42" applyNumberFormat="1" applyFont="1" applyFill="1" applyBorder="1" applyAlignment="1" applyProtection="1">
      <alignment horizontal="center"/>
      <protection/>
    </xf>
    <xf numFmtId="3" fontId="7" fillId="0" borderId="29" xfId="42" applyNumberFormat="1" applyFont="1" applyFill="1" applyBorder="1" applyAlignment="1" applyProtection="1">
      <alignment horizontal="left"/>
      <protection locked="0"/>
    </xf>
    <xf numFmtId="2" fontId="1" fillId="36" borderId="0" xfId="0" applyNumberFormat="1" applyFont="1" applyFill="1" applyAlignment="1" applyProtection="1">
      <alignment horizontal="center"/>
      <protection locked="0"/>
    </xf>
    <xf numFmtId="2" fontId="1" fillId="36" borderId="0" xfId="42" applyNumberFormat="1" applyFont="1" applyFill="1" applyBorder="1" applyAlignment="1" applyProtection="1">
      <alignment horizontal="center"/>
      <protection locked="0"/>
    </xf>
    <xf numFmtId="2" fontId="1" fillId="35" borderId="0" xfId="0" applyNumberFormat="1" applyFont="1" applyFill="1" applyAlignment="1" applyProtection="1">
      <alignment horizontal="center"/>
      <protection locked="0"/>
    </xf>
    <xf numFmtId="190" fontId="0" fillId="37" borderId="49" xfId="42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showGridLines="0" tabSelected="1" workbookViewId="0" topLeftCell="A1">
      <selection activeCell="B125" sqref="B125"/>
    </sheetView>
  </sheetViews>
  <sheetFormatPr defaultColWidth="11.57421875" defaultRowHeight="12.75"/>
  <cols>
    <col min="1" max="1" width="34.7109375" style="6" customWidth="1"/>
    <col min="2" max="4" width="14.28125" style="24" customWidth="1"/>
    <col min="5" max="7" width="9.140625" style="195" hidden="1" customWidth="1"/>
    <col min="8" max="9" width="7.7109375" style="187" hidden="1" customWidth="1"/>
    <col min="10" max="10" width="7.7109375" style="181" hidden="1" customWidth="1"/>
    <col min="11" max="11" width="11.421875" style="181" hidden="1" customWidth="1"/>
    <col min="12" max="12" width="12.421875" style="182" hidden="1" customWidth="1"/>
    <col min="13" max="13" width="11.421875" style="183" hidden="1" customWidth="1"/>
    <col min="14" max="14" width="12.421875" style="74" customWidth="1"/>
    <col min="15" max="15" width="8.8515625" style="11" customWidth="1"/>
    <col min="16" max="16" width="12.7109375" style="11" customWidth="1"/>
    <col min="17" max="16384" width="11.421875" style="6" customWidth="1"/>
  </cols>
  <sheetData>
    <row r="1" ht="12.75" thickBot="1">
      <c r="A1" s="6" t="s">
        <v>111</v>
      </c>
    </row>
    <row r="2" spans="1:16" s="4" customFormat="1" ht="27" thickBot="1">
      <c r="A2" s="33" t="s">
        <v>10</v>
      </c>
      <c r="B2" s="32" t="s">
        <v>112</v>
      </c>
      <c r="C2" s="148"/>
      <c r="D2" s="148"/>
      <c r="E2" s="169"/>
      <c r="F2" s="169"/>
      <c r="G2" s="169"/>
      <c r="H2" s="197"/>
      <c r="I2" s="197"/>
      <c r="J2" s="198"/>
      <c r="K2" s="198"/>
      <c r="L2" s="199"/>
      <c r="M2" s="200"/>
      <c r="N2" s="149"/>
      <c r="O2" s="327"/>
      <c r="P2" s="49"/>
    </row>
    <row r="3" spans="1:16" s="7" customFormat="1" ht="18.75" thickBot="1">
      <c r="A3" s="75" t="s">
        <v>18</v>
      </c>
      <c r="B3" s="76"/>
      <c r="C3" s="268" t="s">
        <v>94</v>
      </c>
      <c r="D3" s="269"/>
      <c r="E3" s="270"/>
      <c r="F3" s="270"/>
      <c r="G3" s="270"/>
      <c r="H3" s="271"/>
      <c r="I3" s="271"/>
      <c r="J3" s="272"/>
      <c r="K3" s="272"/>
      <c r="L3" s="273"/>
      <c r="M3" s="274"/>
      <c r="N3" s="275"/>
      <c r="O3" s="328"/>
      <c r="P3" s="5"/>
    </row>
    <row r="4" spans="1:16" s="7" customFormat="1" ht="18.75" thickBot="1">
      <c r="A4" s="77" t="s">
        <v>67</v>
      </c>
      <c r="B4" s="78"/>
      <c r="C4" s="79"/>
      <c r="D4" s="80"/>
      <c r="E4" s="81"/>
      <c r="F4" s="81"/>
      <c r="G4" s="81"/>
      <c r="H4" s="201"/>
      <c r="I4" s="201"/>
      <c r="J4" s="188"/>
      <c r="K4" s="188"/>
      <c r="L4" s="202"/>
      <c r="M4" s="203"/>
      <c r="N4" s="82"/>
      <c r="O4" s="330"/>
      <c r="P4" s="5"/>
    </row>
    <row r="5" spans="1:16" s="28" customFormat="1" ht="12.75">
      <c r="A5" s="83" t="s">
        <v>26</v>
      </c>
      <c r="B5" s="84"/>
      <c r="C5" s="84"/>
      <c r="D5" s="84"/>
      <c r="E5" s="170"/>
      <c r="F5" s="170"/>
      <c r="G5" s="170"/>
      <c r="H5" s="204"/>
      <c r="I5" s="204"/>
      <c r="J5" s="205"/>
      <c r="K5" s="205"/>
      <c r="L5" s="206"/>
      <c r="M5" s="207"/>
      <c r="N5" s="85"/>
      <c r="O5" s="29"/>
      <c r="P5" s="29"/>
    </row>
    <row r="6" spans="1:16" s="28" customFormat="1" ht="12.75">
      <c r="A6" s="86" t="s">
        <v>27</v>
      </c>
      <c r="B6" s="84"/>
      <c r="C6" s="84"/>
      <c r="D6" s="84"/>
      <c r="E6" s="170"/>
      <c r="F6" s="170"/>
      <c r="G6" s="170"/>
      <c r="H6" s="204"/>
      <c r="I6" s="204"/>
      <c r="J6" s="205"/>
      <c r="K6" s="205"/>
      <c r="L6" s="206"/>
      <c r="M6" s="207"/>
      <c r="N6" s="85"/>
      <c r="O6" s="331"/>
      <c r="P6" s="29"/>
    </row>
    <row r="7" spans="1:16" s="28" customFormat="1" ht="12.75">
      <c r="A7" s="157" t="s">
        <v>92</v>
      </c>
      <c r="B7" s="158"/>
      <c r="C7" s="158"/>
      <c r="D7" s="158"/>
      <c r="E7" s="171"/>
      <c r="F7" s="171"/>
      <c r="G7" s="171"/>
      <c r="H7" s="204"/>
      <c r="I7" s="204"/>
      <c r="J7" s="205"/>
      <c r="K7" s="205"/>
      <c r="L7" s="206"/>
      <c r="M7" s="207"/>
      <c r="N7" s="159"/>
      <c r="O7" s="329"/>
      <c r="P7" s="29"/>
    </row>
    <row r="8" spans="1:16" s="28" customFormat="1" ht="13.5" thickBot="1">
      <c r="A8" s="235" t="s">
        <v>93</v>
      </c>
      <c r="B8" s="236"/>
      <c r="C8" s="236"/>
      <c r="D8" s="236"/>
      <c r="E8" s="170"/>
      <c r="F8" s="170"/>
      <c r="G8" s="170"/>
      <c r="H8" s="204"/>
      <c r="I8" s="204"/>
      <c r="J8" s="205"/>
      <c r="K8" s="205"/>
      <c r="L8" s="206"/>
      <c r="M8" s="207"/>
      <c r="N8" s="237"/>
      <c r="O8" s="329"/>
      <c r="P8" s="29"/>
    </row>
    <row r="9" spans="1:16" s="28" customFormat="1" ht="15.75">
      <c r="A9" s="251" t="s">
        <v>85</v>
      </c>
      <c r="B9" s="250" t="s">
        <v>86</v>
      </c>
      <c r="C9" s="250" t="s">
        <v>87</v>
      </c>
      <c r="D9" s="250" t="s">
        <v>88</v>
      </c>
      <c r="E9" s="238"/>
      <c r="F9" s="238"/>
      <c r="G9" s="238"/>
      <c r="H9" s="239"/>
      <c r="I9" s="239"/>
      <c r="J9" s="240"/>
      <c r="K9" s="240"/>
      <c r="L9" s="241"/>
      <c r="M9" s="242"/>
      <c r="N9" s="243" t="s">
        <v>89</v>
      </c>
      <c r="O9" s="243" t="s">
        <v>96</v>
      </c>
      <c r="P9" s="29"/>
    </row>
    <row r="10" spans="1:16" s="28" customFormat="1" ht="13.5" thickBot="1">
      <c r="A10" s="267" t="s">
        <v>106</v>
      </c>
      <c r="B10" s="244">
        <v>12</v>
      </c>
      <c r="C10" s="244">
        <v>10</v>
      </c>
      <c r="D10" s="244">
        <v>4</v>
      </c>
      <c r="E10" s="245"/>
      <c r="F10" s="245"/>
      <c r="G10" s="245"/>
      <c r="H10" s="246"/>
      <c r="I10" s="246"/>
      <c r="J10" s="247"/>
      <c r="K10" s="247"/>
      <c r="L10" s="248"/>
      <c r="M10" s="249"/>
      <c r="N10" s="340">
        <f>C10^2*D10/25</f>
        <v>16</v>
      </c>
      <c r="O10" s="29"/>
      <c r="P10" s="29"/>
    </row>
    <row r="11" spans="1:16" ht="12">
      <c r="A11" s="87"/>
      <c r="B11" s="151" t="s">
        <v>1</v>
      </c>
      <c r="C11" s="151" t="s">
        <v>2</v>
      </c>
      <c r="D11" s="151" t="s">
        <v>3</v>
      </c>
      <c r="E11" s="88" t="s">
        <v>0</v>
      </c>
      <c r="F11" s="88"/>
      <c r="G11" s="88"/>
      <c r="H11" s="208"/>
      <c r="I11" s="208"/>
      <c r="J11" s="189"/>
      <c r="K11" s="202"/>
      <c r="L11" s="202"/>
      <c r="M11" s="209"/>
      <c r="N11" s="89" t="s">
        <v>24</v>
      </c>
      <c r="O11" s="9"/>
      <c r="P11" s="8"/>
    </row>
    <row r="12" spans="1:16" s="26" customFormat="1" ht="16.5">
      <c r="A12" s="47" t="s">
        <v>113</v>
      </c>
      <c r="B12" s="31">
        <v>5</v>
      </c>
      <c r="C12" s="31">
        <v>4</v>
      </c>
      <c r="D12" s="31">
        <v>3</v>
      </c>
      <c r="E12" s="155">
        <f>(B12+C12+D12)/2</f>
        <v>6</v>
      </c>
      <c r="F12" s="155"/>
      <c r="G12" s="155"/>
      <c r="H12" s="210"/>
      <c r="I12" s="210"/>
      <c r="J12" s="211"/>
      <c r="K12" s="212"/>
      <c r="L12" s="212"/>
      <c r="M12" s="213"/>
      <c r="N12" s="260">
        <f>SQRT(E12*(E12-B12)*(E12-C12)*(E12-D12))</f>
        <v>6</v>
      </c>
      <c r="O12" s="9"/>
      <c r="P12" s="8"/>
    </row>
    <row r="13" spans="1:16" s="26" customFormat="1" ht="19.5">
      <c r="A13" s="69" t="s">
        <v>22</v>
      </c>
      <c r="B13" s="27">
        <v>-0.02</v>
      </c>
      <c r="C13" s="152" t="s">
        <v>20</v>
      </c>
      <c r="D13" s="35">
        <f>B13*C12*100</f>
        <v>-8</v>
      </c>
      <c r="E13" s="155"/>
      <c r="F13" s="155"/>
      <c r="G13" s="155"/>
      <c r="H13" s="214"/>
      <c r="I13" s="214"/>
      <c r="J13" s="211"/>
      <c r="K13" s="215"/>
      <c r="L13" s="212"/>
      <c r="M13" s="213"/>
      <c r="N13" s="260">
        <f>(C12^2*B13*0.65)</f>
        <v>-0.20800000000000002</v>
      </c>
      <c r="O13" s="9"/>
      <c r="P13" s="8"/>
    </row>
    <row r="14" spans="1:16" s="26" customFormat="1" ht="12">
      <c r="A14" s="70" t="s">
        <v>30</v>
      </c>
      <c r="B14" s="27">
        <v>0.05</v>
      </c>
      <c r="C14" s="152" t="s">
        <v>20</v>
      </c>
      <c r="D14" s="35">
        <f>B14*D12*100</f>
        <v>15.000000000000002</v>
      </c>
      <c r="E14" s="155"/>
      <c r="F14" s="155"/>
      <c r="G14" s="155"/>
      <c r="H14" s="214"/>
      <c r="I14" s="214"/>
      <c r="J14" s="211"/>
      <c r="K14" s="215"/>
      <c r="L14" s="212"/>
      <c r="M14" s="213"/>
      <c r="N14" s="300">
        <f>(D12^2*B14*0.65)</f>
        <v>0.29250000000000004</v>
      </c>
      <c r="O14" s="304"/>
      <c r="P14" s="8"/>
    </row>
    <row r="15" spans="1:16" s="26" customFormat="1" ht="12">
      <c r="A15" s="71" t="s">
        <v>19</v>
      </c>
      <c r="B15" s="156">
        <f>DEGREES(ASIN(2*$N12/B12/C12))</f>
        <v>36.86989764584402</v>
      </c>
      <c r="C15" s="156">
        <f>180-B15-D15</f>
        <v>90</v>
      </c>
      <c r="D15" s="156">
        <f>DEGREES(ASIN(2*$N12/D12/B12))</f>
        <v>53.13010235415599</v>
      </c>
      <c r="E15" s="155">
        <f>(B15+C15+D15)/2</f>
        <v>90</v>
      </c>
      <c r="F15" s="155"/>
      <c r="G15" s="155"/>
      <c r="H15" s="210"/>
      <c r="I15" s="210"/>
      <c r="J15" s="211"/>
      <c r="K15" s="215"/>
      <c r="L15" s="212"/>
      <c r="M15" s="213"/>
      <c r="N15" s="301"/>
      <c r="O15" s="318" t="s">
        <v>96</v>
      </c>
      <c r="P15" s="41"/>
    </row>
    <row r="16" spans="1:16" s="26" customFormat="1" ht="12.75" thickBot="1">
      <c r="A16" s="154" t="s">
        <v>68</v>
      </c>
      <c r="B16" s="161">
        <f>N12/B12*2</f>
        <v>2.4</v>
      </c>
      <c r="C16" s="276"/>
      <c r="D16" s="133" t="str">
        <f>A12</f>
        <v>Fokk</v>
      </c>
      <c r="E16" s="155"/>
      <c r="F16" s="155"/>
      <c r="G16" s="155"/>
      <c r="H16" s="210"/>
      <c r="I16" s="210"/>
      <c r="J16" s="211"/>
      <c r="K16" s="215"/>
      <c r="L16" s="212"/>
      <c r="M16" s="213"/>
      <c r="N16" s="302">
        <f>SUM(N12:N15)</f>
        <v>6.0845</v>
      </c>
      <c r="O16" s="316">
        <f>N16/Lwl/Lwl</f>
        <v>0.060845</v>
      </c>
      <c r="P16" s="41"/>
    </row>
    <row r="17" spans="1:16" s="26" customFormat="1" ht="12.75" thickTop="1">
      <c r="A17" s="323" t="s">
        <v>91</v>
      </c>
      <c r="B17" s="320">
        <f>IF(Lwl&lt;1,"Lwl ?",(C12-Lwl*0.59)/2.1)</f>
        <v>-0.9047619047619044</v>
      </c>
      <c r="C17" s="319">
        <f>B17</f>
        <v>-0.9047619047619044</v>
      </c>
      <c r="D17" s="258">
        <f>N16-N17</f>
        <v>-2.8958309398030035</v>
      </c>
      <c r="E17" s="252">
        <v>0.6</v>
      </c>
      <c r="F17" s="252"/>
      <c r="G17" s="155"/>
      <c r="H17" s="210"/>
      <c r="I17" s="210"/>
      <c r="J17" s="211"/>
      <c r="K17" s="215"/>
      <c r="L17" s="212"/>
      <c r="M17" s="213"/>
      <c r="N17" s="300">
        <f>((C12-C17*0.95)/C12)^2*N16</f>
        <v>8.980330939803004</v>
      </c>
      <c r="O17" s="305">
        <f>N17/Lwl/Lwl</f>
        <v>0.08980330939803004</v>
      </c>
      <c r="P17" s="41"/>
    </row>
    <row r="18" spans="1:16" s="26" customFormat="1" ht="12">
      <c r="A18" s="323" t="s">
        <v>90</v>
      </c>
      <c r="B18" s="320">
        <f>B17*1.2</f>
        <v>-1.0857142857142852</v>
      </c>
      <c r="C18" s="319">
        <f>B18</f>
        <v>-1.0857142857142852</v>
      </c>
      <c r="D18" s="258">
        <f>N16-D17-N18</f>
        <v>-4.216690951700679</v>
      </c>
      <c r="E18" s="155"/>
      <c r="F18" s="155"/>
      <c r="G18" s="155"/>
      <c r="H18" s="210"/>
      <c r="I18" s="210"/>
      <c r="J18" s="211"/>
      <c r="K18" s="215"/>
      <c r="L18" s="212"/>
      <c r="M18" s="213"/>
      <c r="N18" s="300">
        <f>((C12-(C17+C18)*0.95)/C12)^2*N16</f>
        <v>13.197021891503683</v>
      </c>
      <c r="O18" s="305">
        <f>N18/Lwl/Lwl</f>
        <v>0.13197021891503682</v>
      </c>
      <c r="P18" s="41"/>
    </row>
    <row r="19" spans="1:16" s="26" customFormat="1" ht="12.75" thickBot="1">
      <c r="A19" s="324" t="s">
        <v>69</v>
      </c>
      <c r="B19" s="321">
        <f>IF(Lwl&lt;1,"Lwl ?",B17*1.6)</f>
        <v>-1.4476190476190471</v>
      </c>
      <c r="C19" s="322">
        <f>B19</f>
        <v>-1.4476190476190471</v>
      </c>
      <c r="D19" s="259">
        <f>N16-N19</f>
        <v>-4.9030363487528295</v>
      </c>
      <c r="E19" s="253"/>
      <c r="F19" s="253"/>
      <c r="G19" s="253"/>
      <c r="H19" s="254"/>
      <c r="I19" s="254"/>
      <c r="J19" s="255"/>
      <c r="K19" s="255"/>
      <c r="L19" s="256"/>
      <c r="M19" s="257"/>
      <c r="N19" s="303">
        <f>((C12-C19*0.95)/C12)^2*N16</f>
        <v>10.98753634875283</v>
      </c>
      <c r="O19" s="305">
        <f>N19/Lwl/Lwl</f>
        <v>0.10987536348752829</v>
      </c>
      <c r="P19" s="41"/>
    </row>
    <row r="20" spans="1:16" s="26" customFormat="1" ht="16.5">
      <c r="A20" s="30" t="s">
        <v>114</v>
      </c>
      <c r="B20" s="31">
        <v>5</v>
      </c>
      <c r="C20" s="31">
        <v>4</v>
      </c>
      <c r="D20" s="31">
        <v>3</v>
      </c>
      <c r="E20" s="155">
        <f>(B20+C20+D20)/2</f>
        <v>6</v>
      </c>
      <c r="F20" s="155"/>
      <c r="G20" s="155"/>
      <c r="H20" s="210"/>
      <c r="I20" s="210"/>
      <c r="J20" s="211"/>
      <c r="K20" s="215"/>
      <c r="L20" s="212"/>
      <c r="M20" s="213"/>
      <c r="N20" s="300">
        <f>SQRT(E20*(E20-B20)*(E20-C20)*(E20-D20))</f>
        <v>6</v>
      </c>
      <c r="O20" s="306"/>
      <c r="P20" s="41"/>
    </row>
    <row r="21" spans="1:16" s="26" customFormat="1" ht="12">
      <c r="A21" s="70" t="s">
        <v>23</v>
      </c>
      <c r="B21" s="27">
        <v>-0.02</v>
      </c>
      <c r="C21" s="152" t="s">
        <v>20</v>
      </c>
      <c r="D21" s="40">
        <f>B21*C20*100</f>
        <v>-8</v>
      </c>
      <c r="E21" s="155"/>
      <c r="F21" s="155"/>
      <c r="G21" s="155"/>
      <c r="H21" s="214"/>
      <c r="I21" s="214"/>
      <c r="J21" s="211"/>
      <c r="K21" s="212"/>
      <c r="L21" s="212"/>
      <c r="M21" s="213"/>
      <c r="N21" s="300">
        <f>(C20^2*B21*0.65)</f>
        <v>-0.20800000000000002</v>
      </c>
      <c r="O21" s="306"/>
      <c r="P21" s="41"/>
    </row>
    <row r="22" spans="1:16" s="26" customFormat="1" ht="12">
      <c r="A22" s="70" t="s">
        <v>29</v>
      </c>
      <c r="B22" s="27">
        <v>0</v>
      </c>
      <c r="C22" s="152" t="s">
        <v>20</v>
      </c>
      <c r="D22" s="40">
        <f>B22*C20*100</f>
        <v>0</v>
      </c>
      <c r="E22" s="155"/>
      <c r="F22" s="155"/>
      <c r="G22" s="155"/>
      <c r="H22" s="214"/>
      <c r="I22" s="214"/>
      <c r="J22" s="211"/>
      <c r="K22" s="212"/>
      <c r="L22" s="212"/>
      <c r="M22" s="213"/>
      <c r="N22" s="300">
        <f>(D20^2*B22*0.65)</f>
        <v>0</v>
      </c>
      <c r="O22" s="306"/>
      <c r="P22" s="41"/>
    </row>
    <row r="23" spans="1:16" s="26" customFormat="1" ht="12">
      <c r="A23" s="71" t="s">
        <v>19</v>
      </c>
      <c r="B23" s="156">
        <f>DEGREES(ASIN(2*$N20/B20/C20))</f>
        <v>36.86989764584402</v>
      </c>
      <c r="C23" s="156">
        <f>180-B23-D23</f>
        <v>90</v>
      </c>
      <c r="D23" s="156">
        <f>DEGREES(ASIN(2*$N20/D20/B20))</f>
        <v>53.13010235415599</v>
      </c>
      <c r="E23" s="155">
        <f>(B23+C23+D23)/2</f>
        <v>90</v>
      </c>
      <c r="F23" s="155"/>
      <c r="G23" s="155"/>
      <c r="H23" s="210"/>
      <c r="I23" s="210"/>
      <c r="J23" s="211"/>
      <c r="K23" s="215"/>
      <c r="L23" s="212"/>
      <c r="M23" s="213"/>
      <c r="N23" s="301"/>
      <c r="O23" s="318" t="s">
        <v>96</v>
      </c>
      <c r="P23" s="41"/>
    </row>
    <row r="24" spans="1:16" s="26" customFormat="1" ht="12.75" thickBot="1">
      <c r="A24" s="154" t="s">
        <v>25</v>
      </c>
      <c r="B24" s="160">
        <f>N20/B20*2</f>
        <v>2.4</v>
      </c>
      <c r="C24" s="280" t="s">
        <v>2</v>
      </c>
      <c r="D24" s="133" t="str">
        <f>A20</f>
        <v>Klyver Standard</v>
      </c>
      <c r="E24" s="184"/>
      <c r="F24" s="184"/>
      <c r="G24" s="184"/>
      <c r="H24" s="210"/>
      <c r="I24" s="210"/>
      <c r="J24" s="211"/>
      <c r="K24" s="212"/>
      <c r="L24" s="212"/>
      <c r="M24" s="213"/>
      <c r="N24" s="302">
        <f>SUM(N20:N23)</f>
        <v>5.792</v>
      </c>
      <c r="O24" s="316">
        <f>N24/Lwl/Lwl</f>
        <v>0.05791999999999999</v>
      </c>
      <c r="P24" s="41"/>
    </row>
    <row r="25" spans="1:16" s="26" customFormat="1" ht="18" thickTop="1">
      <c r="A25" s="30" t="s">
        <v>115</v>
      </c>
      <c r="B25" s="31">
        <v>5</v>
      </c>
      <c r="C25" s="31">
        <v>4</v>
      </c>
      <c r="D25" s="31">
        <v>3</v>
      </c>
      <c r="E25" s="155">
        <f>(B25+C25+D25)/2</f>
        <v>6</v>
      </c>
      <c r="F25" s="155"/>
      <c r="G25" s="155"/>
      <c r="H25" s="210"/>
      <c r="I25" s="210"/>
      <c r="J25" s="211"/>
      <c r="K25" s="215"/>
      <c r="L25" s="212"/>
      <c r="M25" s="213"/>
      <c r="N25" s="300">
        <f>SQRT(E25*(E25-B25)*(E25-C25)*(E25-D25))</f>
        <v>6</v>
      </c>
      <c r="O25" s="306"/>
      <c r="P25" s="41"/>
    </row>
    <row r="26" spans="1:16" s="26" customFormat="1" ht="12">
      <c r="A26" s="70" t="s">
        <v>23</v>
      </c>
      <c r="B26" s="27">
        <v>-0.02</v>
      </c>
      <c r="C26" s="152" t="s">
        <v>20</v>
      </c>
      <c r="D26" s="35">
        <f>B26*C25*100</f>
        <v>-8</v>
      </c>
      <c r="E26" s="155"/>
      <c r="F26" s="155"/>
      <c r="G26" s="155"/>
      <c r="H26" s="214"/>
      <c r="I26" s="214"/>
      <c r="J26" s="211"/>
      <c r="K26" s="212"/>
      <c r="L26" s="212"/>
      <c r="M26" s="213"/>
      <c r="N26" s="300">
        <f>(C25^2*B26*0.65)</f>
        <v>-0.20800000000000002</v>
      </c>
      <c r="O26" s="306"/>
      <c r="P26" s="41"/>
    </row>
    <row r="27" spans="1:16" s="26" customFormat="1" ht="12">
      <c r="A27" s="70" t="s">
        <v>31</v>
      </c>
      <c r="B27" s="27">
        <v>0</v>
      </c>
      <c r="C27" s="152" t="s">
        <v>20</v>
      </c>
      <c r="D27" s="35">
        <f>B27*C25*100</f>
        <v>0</v>
      </c>
      <c r="E27" s="155"/>
      <c r="F27" s="155"/>
      <c r="G27" s="155"/>
      <c r="H27" s="214"/>
      <c r="I27" s="214"/>
      <c r="J27" s="211"/>
      <c r="K27" s="212"/>
      <c r="L27" s="212"/>
      <c r="M27" s="213"/>
      <c r="N27" s="300">
        <f>(D25^2*B27*0.65)</f>
        <v>0</v>
      </c>
      <c r="O27" s="306"/>
      <c r="P27" s="41"/>
    </row>
    <row r="28" spans="1:16" s="26" customFormat="1" ht="12">
      <c r="A28" s="71" t="s">
        <v>19</v>
      </c>
      <c r="B28" s="156">
        <f>DEGREES(ASIN(2*$N25/B25/C25))</f>
        <v>36.86989764584402</v>
      </c>
      <c r="C28" s="156">
        <f>180-B28-D28</f>
        <v>90</v>
      </c>
      <c r="D28" s="156">
        <f>DEGREES(ASIN(2*$N25/D25/B25))</f>
        <v>53.13010235415599</v>
      </c>
      <c r="E28" s="155">
        <f>(B28+C28+D28)/2</f>
        <v>90</v>
      </c>
      <c r="F28" s="155"/>
      <c r="G28" s="155"/>
      <c r="H28" s="210"/>
      <c r="I28" s="210"/>
      <c r="J28" s="211"/>
      <c r="K28" s="215"/>
      <c r="L28" s="212"/>
      <c r="M28" s="213"/>
      <c r="N28" s="301"/>
      <c r="O28" s="318" t="s">
        <v>96</v>
      </c>
      <c r="P28" s="41"/>
    </row>
    <row r="29" spans="1:16" s="26" customFormat="1" ht="12.75" thickBot="1">
      <c r="A29" s="154" t="s">
        <v>25</v>
      </c>
      <c r="B29" s="160">
        <f>N25/B25*2</f>
        <v>2.4</v>
      </c>
      <c r="C29" s="280" t="s">
        <v>2</v>
      </c>
      <c r="D29" s="133" t="str">
        <f>A25</f>
        <v>Klyver hardvær</v>
      </c>
      <c r="E29" s="184"/>
      <c r="F29" s="184"/>
      <c r="G29" s="184"/>
      <c r="H29" s="210"/>
      <c r="I29" s="210"/>
      <c r="J29" s="211"/>
      <c r="K29" s="212"/>
      <c r="L29" s="212"/>
      <c r="M29" s="213"/>
      <c r="N29" s="302">
        <f>SUM(N25:N28)</f>
        <v>5.792</v>
      </c>
      <c r="O29" s="316">
        <f>N29/Lwl/Lwl</f>
        <v>0.05791999999999999</v>
      </c>
      <c r="P29" s="41"/>
    </row>
    <row r="30" spans="1:16" s="26" customFormat="1" ht="18" thickTop="1">
      <c r="A30" s="30" t="s">
        <v>116</v>
      </c>
      <c r="B30" s="31">
        <v>5</v>
      </c>
      <c r="C30" s="31">
        <v>4</v>
      </c>
      <c r="D30" s="31">
        <v>3</v>
      </c>
      <c r="E30" s="155">
        <f>(B30+C30+D30)/2</f>
        <v>6</v>
      </c>
      <c r="F30" s="155"/>
      <c r="G30" s="155"/>
      <c r="H30" s="210"/>
      <c r="I30" s="210"/>
      <c r="J30" s="211"/>
      <c r="K30" s="215"/>
      <c r="L30" s="212"/>
      <c r="M30" s="213"/>
      <c r="N30" s="300">
        <f>SQRT(E30*(E30-B30)*(E30-C30)*(E30-D30))</f>
        <v>6</v>
      </c>
      <c r="O30" s="306"/>
      <c r="P30" s="41"/>
    </row>
    <row r="31" spans="1:16" s="26" customFormat="1" ht="12">
      <c r="A31" s="70" t="s">
        <v>23</v>
      </c>
      <c r="B31" s="27">
        <v>-0.02</v>
      </c>
      <c r="C31" s="152" t="s">
        <v>20</v>
      </c>
      <c r="D31" s="35">
        <f>B31*C30*100</f>
        <v>-8</v>
      </c>
      <c r="E31" s="155"/>
      <c r="F31" s="155"/>
      <c r="G31" s="155"/>
      <c r="H31" s="214"/>
      <c r="I31" s="214"/>
      <c r="J31" s="211"/>
      <c r="K31" s="212"/>
      <c r="L31" s="212"/>
      <c r="M31" s="213"/>
      <c r="N31" s="300">
        <f>(C30^2*B31*0.65)</f>
        <v>-0.20800000000000002</v>
      </c>
      <c r="O31" s="304"/>
      <c r="P31" s="8"/>
    </row>
    <row r="32" spans="1:16" s="26" customFormat="1" ht="12">
      <c r="A32" s="70" t="s">
        <v>31</v>
      </c>
      <c r="B32" s="27">
        <v>0</v>
      </c>
      <c r="C32" s="152" t="s">
        <v>20</v>
      </c>
      <c r="D32" s="35">
        <f>B32*C30*100</f>
        <v>0</v>
      </c>
      <c r="E32" s="155"/>
      <c r="F32" s="155"/>
      <c r="G32" s="155"/>
      <c r="H32" s="214"/>
      <c r="I32" s="214"/>
      <c r="J32" s="211"/>
      <c r="K32" s="212"/>
      <c r="L32" s="212"/>
      <c r="M32" s="213"/>
      <c r="N32" s="300">
        <f>(D30^2*B32*0.65)</f>
        <v>0</v>
      </c>
      <c r="O32" s="304"/>
      <c r="P32" s="8"/>
    </row>
    <row r="33" spans="1:16" s="26" customFormat="1" ht="12">
      <c r="A33" s="71" t="s">
        <v>19</v>
      </c>
      <c r="B33" s="156">
        <f>DEGREES(ASIN(2*$N30/B30/C30))</f>
        <v>36.86989764584402</v>
      </c>
      <c r="C33" s="156">
        <f>180-B33-D33</f>
        <v>90</v>
      </c>
      <c r="D33" s="156">
        <f>DEGREES(ASIN(2*$N30/D30/B30))</f>
        <v>53.13010235415599</v>
      </c>
      <c r="E33" s="155">
        <f>(B33+C33+D33)/2</f>
        <v>90</v>
      </c>
      <c r="F33" s="155"/>
      <c r="G33" s="155"/>
      <c r="H33" s="210"/>
      <c r="I33" s="210"/>
      <c r="J33" s="211"/>
      <c r="K33" s="215"/>
      <c r="L33" s="212"/>
      <c r="M33" s="213"/>
      <c r="N33" s="301"/>
      <c r="O33" s="318" t="s">
        <v>96</v>
      </c>
      <c r="P33" s="41"/>
    </row>
    <row r="34" spans="1:16" s="26" customFormat="1" ht="12.75" thickBot="1">
      <c r="A34" s="154" t="s">
        <v>25</v>
      </c>
      <c r="B34" s="160">
        <f>N30/B30*2</f>
        <v>2.4</v>
      </c>
      <c r="C34" s="280" t="s">
        <v>2</v>
      </c>
      <c r="D34" s="133" t="str">
        <f>A30</f>
        <v>Storklyver</v>
      </c>
      <c r="E34" s="184"/>
      <c r="F34" s="184"/>
      <c r="G34" s="184"/>
      <c r="H34" s="210"/>
      <c r="I34" s="210"/>
      <c r="J34" s="211"/>
      <c r="K34" s="212"/>
      <c r="L34" s="212"/>
      <c r="M34" s="213"/>
      <c r="N34" s="302">
        <f>SUM(N30:N33)</f>
        <v>5.792</v>
      </c>
      <c r="O34" s="316">
        <f>N34/Lwl/Lwl</f>
        <v>0.05791999999999999</v>
      </c>
      <c r="P34" s="8"/>
    </row>
    <row r="35" spans="1:16" s="26" customFormat="1" ht="18" thickTop="1">
      <c r="A35" s="30" t="s">
        <v>49</v>
      </c>
      <c r="B35" s="31">
        <v>5</v>
      </c>
      <c r="C35" s="31">
        <v>4</v>
      </c>
      <c r="D35" s="31">
        <v>3</v>
      </c>
      <c r="E35" s="155">
        <f>(B35+C35+D35)/2</f>
        <v>6</v>
      </c>
      <c r="F35" s="155"/>
      <c r="G35" s="155"/>
      <c r="H35" s="210"/>
      <c r="I35" s="210"/>
      <c r="J35" s="211"/>
      <c r="K35" s="215"/>
      <c r="L35" s="212"/>
      <c r="M35" s="213"/>
      <c r="N35" s="300">
        <f>SQRT(E35*(E35-B35)*(E35-C35)*(E35-D35))</f>
        <v>6</v>
      </c>
      <c r="O35" s="304"/>
      <c r="P35" s="8"/>
    </row>
    <row r="36" spans="1:16" s="26" customFormat="1" ht="12">
      <c r="A36" s="70" t="s">
        <v>23</v>
      </c>
      <c r="B36" s="27">
        <v>-0.02</v>
      </c>
      <c r="C36" s="152" t="s">
        <v>20</v>
      </c>
      <c r="D36" s="35">
        <f>B36*C35*100</f>
        <v>-8</v>
      </c>
      <c r="E36" s="155"/>
      <c r="F36" s="155"/>
      <c r="G36" s="155"/>
      <c r="H36" s="214"/>
      <c r="I36" s="214"/>
      <c r="J36" s="211"/>
      <c r="K36" s="212"/>
      <c r="L36" s="212"/>
      <c r="M36" s="213"/>
      <c r="N36" s="300">
        <f>(C35^2*B36*0.65)</f>
        <v>-0.20800000000000002</v>
      </c>
      <c r="O36" s="304"/>
      <c r="P36" s="8"/>
    </row>
    <row r="37" spans="1:16" s="26" customFormat="1" ht="12">
      <c r="A37" s="70" t="s">
        <v>31</v>
      </c>
      <c r="B37" s="27">
        <v>0.02</v>
      </c>
      <c r="C37" s="152" t="s">
        <v>20</v>
      </c>
      <c r="D37" s="35">
        <f>B37*C35*100</f>
        <v>8</v>
      </c>
      <c r="E37" s="155"/>
      <c r="F37" s="155"/>
      <c r="G37" s="155"/>
      <c r="H37" s="214"/>
      <c r="I37" s="214"/>
      <c r="J37" s="211"/>
      <c r="K37" s="212"/>
      <c r="L37" s="212"/>
      <c r="M37" s="213"/>
      <c r="N37" s="300">
        <f>(D35^2*B37*0.65)</f>
        <v>0.11699999999999999</v>
      </c>
      <c r="O37" s="304"/>
      <c r="P37" s="8"/>
    </row>
    <row r="38" spans="1:16" s="26" customFormat="1" ht="12">
      <c r="A38" s="71" t="s">
        <v>19</v>
      </c>
      <c r="B38" s="156">
        <f>DEGREES(ASIN(2*$N35/B35/C35))</f>
        <v>36.86989764584402</v>
      </c>
      <c r="C38" s="156">
        <f>180-B38-D38</f>
        <v>90</v>
      </c>
      <c r="D38" s="156">
        <f>DEGREES(ASIN(2*$N35/D35/B35))</f>
        <v>53.13010235415599</v>
      </c>
      <c r="E38" s="155">
        <f>(B38+C38+D38)/2</f>
        <v>90</v>
      </c>
      <c r="F38" s="155"/>
      <c r="G38" s="155"/>
      <c r="H38" s="210"/>
      <c r="I38" s="210"/>
      <c r="J38" s="211"/>
      <c r="K38" s="215"/>
      <c r="L38" s="212"/>
      <c r="M38" s="213"/>
      <c r="N38" s="301"/>
      <c r="O38" s="318" t="s">
        <v>96</v>
      </c>
      <c r="P38" s="41"/>
    </row>
    <row r="39" spans="1:16" s="26" customFormat="1" ht="12.75" thickBot="1">
      <c r="A39" s="154" t="s">
        <v>25</v>
      </c>
      <c r="B39" s="160">
        <f>N35/B35*2</f>
        <v>2.4</v>
      </c>
      <c r="C39" s="280" t="s">
        <v>2</v>
      </c>
      <c r="D39" s="133" t="str">
        <f>A35</f>
        <v>Genoa</v>
      </c>
      <c r="E39" s="184"/>
      <c r="F39" s="184"/>
      <c r="G39" s="184"/>
      <c r="H39" s="210"/>
      <c r="I39" s="210"/>
      <c r="J39" s="211"/>
      <c r="K39" s="212"/>
      <c r="L39" s="212"/>
      <c r="M39" s="213"/>
      <c r="N39" s="302">
        <f>SUM(N35:N38)</f>
        <v>5.909</v>
      </c>
      <c r="O39" s="316">
        <f>N39/Lwl/Lwl</f>
        <v>0.05909</v>
      </c>
      <c r="P39" s="8"/>
    </row>
    <row r="40" spans="1:16" s="26" customFormat="1" ht="18" thickTop="1">
      <c r="A40" s="30" t="s">
        <v>117</v>
      </c>
      <c r="B40" s="31">
        <v>7.2</v>
      </c>
      <c r="C40" s="31">
        <v>4.2</v>
      </c>
      <c r="D40" s="31">
        <v>7</v>
      </c>
      <c r="E40" s="155">
        <f>(B40+C40+D40)/2</f>
        <v>9.2</v>
      </c>
      <c r="F40" s="155"/>
      <c r="G40" s="155"/>
      <c r="H40" s="214"/>
      <c r="I40" s="214"/>
      <c r="J40" s="211"/>
      <c r="K40" s="215"/>
      <c r="L40" s="212"/>
      <c r="M40" s="213"/>
      <c r="N40" s="260">
        <f>SQRT(E40*(E40-B40)*(E40-C40)*(E40-D40))</f>
        <v>14.226735395022985</v>
      </c>
      <c r="O40" s="9"/>
      <c r="P40" s="8"/>
    </row>
    <row r="41" spans="1:16" s="26" customFormat="1" ht="12">
      <c r="A41" s="70" t="s">
        <v>23</v>
      </c>
      <c r="B41" s="27">
        <v>-0.02</v>
      </c>
      <c r="C41" s="152" t="s">
        <v>20</v>
      </c>
      <c r="D41" s="35">
        <f>B41*C40*100</f>
        <v>-8.4</v>
      </c>
      <c r="E41" s="155"/>
      <c r="F41" s="155"/>
      <c r="G41" s="155"/>
      <c r="H41" s="214"/>
      <c r="I41" s="214"/>
      <c r="J41" s="215"/>
      <c r="K41" s="215"/>
      <c r="L41" s="212"/>
      <c r="M41" s="213"/>
      <c r="N41" s="260">
        <f>(C40^2*B41*0.65)</f>
        <v>-0.22932</v>
      </c>
      <c r="O41" s="9"/>
      <c r="P41" s="8"/>
    </row>
    <row r="42" spans="1:16" s="26" customFormat="1" ht="12">
      <c r="A42" s="70" t="s">
        <v>33</v>
      </c>
      <c r="B42" s="27">
        <v>-0.01</v>
      </c>
      <c r="C42" s="152" t="s">
        <v>20</v>
      </c>
      <c r="D42" s="35">
        <f>B42*D40*100</f>
        <v>-7.000000000000001</v>
      </c>
      <c r="E42" s="155"/>
      <c r="F42" s="155"/>
      <c r="G42" s="155"/>
      <c r="H42" s="214"/>
      <c r="I42" s="214"/>
      <c r="J42" s="215"/>
      <c r="K42" s="215"/>
      <c r="L42" s="212"/>
      <c r="M42" s="213"/>
      <c r="N42" s="260">
        <f>(D40^2*B42*0.65)</f>
        <v>-0.3185</v>
      </c>
      <c r="O42" s="9"/>
      <c r="P42" s="8"/>
    </row>
    <row r="43" spans="1:16" s="26" customFormat="1" ht="12">
      <c r="A43" s="137" t="s">
        <v>61</v>
      </c>
      <c r="B43" s="27">
        <v>0.03</v>
      </c>
      <c r="C43" s="152" t="s">
        <v>20</v>
      </c>
      <c r="D43" s="35">
        <f>B43*B40*100</f>
        <v>21.6</v>
      </c>
      <c r="E43" s="155"/>
      <c r="F43" s="155"/>
      <c r="G43" s="155"/>
      <c r="H43" s="214"/>
      <c r="I43" s="214"/>
      <c r="J43" s="211"/>
      <c r="K43" s="215"/>
      <c r="L43" s="212"/>
      <c r="M43" s="213"/>
      <c r="N43" s="260">
        <f>(B40^2*B43*0.65)</f>
        <v>1.0108800000000002</v>
      </c>
      <c r="O43" s="9"/>
      <c r="P43" s="8"/>
    </row>
    <row r="44" spans="1:16" s="26" customFormat="1" ht="12">
      <c r="A44" s="71" t="s">
        <v>19</v>
      </c>
      <c r="B44" s="156">
        <f>DEGREES(ASIN(2*$N40/B40/C40))</f>
        <v>70.20691650454538</v>
      </c>
      <c r="C44" s="156">
        <f>180-B44-D44</f>
        <v>75.42182747137468</v>
      </c>
      <c r="D44" s="156">
        <f>DEGREES(ASIN(2*$N40/D40/B40))</f>
        <v>34.37125602407995</v>
      </c>
      <c r="E44" s="155">
        <f>(B44+C44+D44)/2</f>
        <v>90</v>
      </c>
      <c r="F44" s="155"/>
      <c r="G44" s="155"/>
      <c r="H44" s="214"/>
      <c r="I44" s="214"/>
      <c r="J44" s="211"/>
      <c r="K44" s="215"/>
      <c r="L44" s="212"/>
      <c r="M44" s="213"/>
      <c r="N44" s="261"/>
      <c r="O44" s="318" t="s">
        <v>96</v>
      </c>
      <c r="P44" s="8"/>
    </row>
    <row r="45" spans="1:16" s="26" customFormat="1" ht="12.75" thickBot="1">
      <c r="A45" s="153" t="s">
        <v>28</v>
      </c>
      <c r="B45" s="163">
        <f>N40/B40*2</f>
        <v>3.95187094306194</v>
      </c>
      <c r="C45" s="279"/>
      <c r="D45" s="133" t="str">
        <f>A40</f>
        <v>Toppseil m stang</v>
      </c>
      <c r="E45" s="184"/>
      <c r="F45" s="184"/>
      <c r="G45" s="184"/>
      <c r="H45" s="210"/>
      <c r="I45" s="210"/>
      <c r="J45" s="211"/>
      <c r="K45" s="212"/>
      <c r="L45" s="212"/>
      <c r="M45" s="213"/>
      <c r="N45" s="262">
        <f>SUM(N40:N43)</f>
        <v>14.689795395022985</v>
      </c>
      <c r="O45" s="316">
        <f>N45/Lwl/Lwl</f>
        <v>0.14689795395022984</v>
      </c>
      <c r="P45" s="8"/>
    </row>
    <row r="46" spans="1:16" ht="12.75" thickTop="1">
      <c r="A46" s="60" t="s">
        <v>35</v>
      </c>
      <c r="B46" s="134" t="s">
        <v>34</v>
      </c>
      <c r="C46" s="31">
        <v>4.5</v>
      </c>
      <c r="D46" s="277" t="s">
        <v>45</v>
      </c>
      <c r="E46" s="172"/>
      <c r="F46" s="172"/>
      <c r="G46" s="172"/>
      <c r="H46" s="216"/>
      <c r="I46" s="216"/>
      <c r="J46" s="188"/>
      <c r="K46" s="188"/>
      <c r="L46" s="202"/>
      <c r="M46" s="209"/>
      <c r="N46" s="263">
        <f>B40-C46+(C46*6/100)</f>
        <v>2.97</v>
      </c>
      <c r="O46" s="9"/>
      <c r="P46" s="8"/>
    </row>
    <row r="47" spans="1:16" ht="12">
      <c r="A47" s="58"/>
      <c r="B47" s="135" t="s">
        <v>46</v>
      </c>
      <c r="C47" s="50">
        <v>3</v>
      </c>
      <c r="D47" s="278"/>
      <c r="E47" s="173"/>
      <c r="F47" s="173"/>
      <c r="G47" s="173"/>
      <c r="H47" s="216"/>
      <c r="I47" s="216"/>
      <c r="J47" s="188"/>
      <c r="K47" s="188"/>
      <c r="L47" s="202"/>
      <c r="M47" s="209"/>
      <c r="N47" s="264"/>
      <c r="O47" s="9"/>
      <c r="P47" s="8"/>
    </row>
    <row r="48" spans="1:16" s="26" customFormat="1" ht="16.5">
      <c r="A48" s="47" t="s">
        <v>48</v>
      </c>
      <c r="B48" s="108">
        <v>5.5</v>
      </c>
      <c r="C48" s="108">
        <v>3.6</v>
      </c>
      <c r="D48" s="108">
        <v>5.5</v>
      </c>
      <c r="E48" s="185">
        <f>(B48+C48+D48)/2</f>
        <v>7.3</v>
      </c>
      <c r="F48" s="185"/>
      <c r="G48" s="185"/>
      <c r="H48" s="214"/>
      <c r="I48" s="214"/>
      <c r="J48" s="211"/>
      <c r="K48" s="215"/>
      <c r="L48" s="212"/>
      <c r="M48" s="213"/>
      <c r="N48" s="265">
        <f>SQRT(E48*(E48-B48)*(E48-C48)*(E48-D48))</f>
        <v>9.354806251334123</v>
      </c>
      <c r="O48" s="9"/>
      <c r="P48" s="8"/>
    </row>
    <row r="49" spans="1:16" s="26" customFormat="1" ht="12">
      <c r="A49" s="70" t="s">
        <v>23</v>
      </c>
      <c r="B49" s="27">
        <v>-0.02</v>
      </c>
      <c r="C49" s="152" t="s">
        <v>20</v>
      </c>
      <c r="D49" s="35">
        <f>B49*C48*100</f>
        <v>-7.200000000000001</v>
      </c>
      <c r="E49" s="155"/>
      <c r="F49" s="155"/>
      <c r="G49" s="155"/>
      <c r="H49" s="214"/>
      <c r="I49" s="214"/>
      <c r="J49" s="215"/>
      <c r="K49" s="215"/>
      <c r="L49" s="212"/>
      <c r="M49" s="213"/>
      <c r="N49" s="260">
        <f>(C48^2*B49*0.65)</f>
        <v>-0.16848000000000005</v>
      </c>
      <c r="O49" s="9"/>
      <c r="P49" s="8"/>
    </row>
    <row r="50" spans="1:16" s="26" customFormat="1" ht="12">
      <c r="A50" s="70" t="s">
        <v>33</v>
      </c>
      <c r="B50" s="27">
        <v>-0.01</v>
      </c>
      <c r="C50" s="152" t="s">
        <v>20</v>
      </c>
      <c r="D50" s="35">
        <f>B50*D48*100</f>
        <v>-5.5</v>
      </c>
      <c r="E50" s="155"/>
      <c r="F50" s="155"/>
      <c r="G50" s="155"/>
      <c r="H50" s="214"/>
      <c r="I50" s="214"/>
      <c r="J50" s="215"/>
      <c r="K50" s="215"/>
      <c r="L50" s="212"/>
      <c r="M50" s="213"/>
      <c r="N50" s="260">
        <f>(D48^2*B50*0.65)</f>
        <v>-0.196625</v>
      </c>
      <c r="O50" s="9"/>
      <c r="P50" s="8"/>
    </row>
    <row r="51" spans="1:16" s="26" customFormat="1" ht="12">
      <c r="A51" s="71" t="s">
        <v>62</v>
      </c>
      <c r="B51" s="27">
        <v>0.01</v>
      </c>
      <c r="C51" s="152" t="s">
        <v>20</v>
      </c>
      <c r="D51" s="35">
        <f>B51*B48*100</f>
        <v>5.5</v>
      </c>
      <c r="E51" s="155"/>
      <c r="F51" s="155"/>
      <c r="G51" s="155"/>
      <c r="H51" s="214"/>
      <c r="I51" s="214"/>
      <c r="J51" s="211"/>
      <c r="K51" s="215"/>
      <c r="L51" s="212"/>
      <c r="M51" s="213"/>
      <c r="N51" s="260">
        <f>(B48^2*B51*0.4)</f>
        <v>0.121</v>
      </c>
      <c r="O51" s="9"/>
      <c r="P51" s="8"/>
    </row>
    <row r="52" spans="1:16" s="26" customFormat="1" ht="12">
      <c r="A52" s="71" t="s">
        <v>19</v>
      </c>
      <c r="B52" s="156">
        <f>DEGREES(ASIN(2*$N48/B48/C48))</f>
        <v>70.89667552251402</v>
      </c>
      <c r="C52" s="156">
        <f>180-B52-D52</f>
        <v>70.89667552251404</v>
      </c>
      <c r="D52" s="156">
        <f>DEGREES(ASIN(2*$N48/D48/B48))</f>
        <v>38.206648954971946</v>
      </c>
      <c r="E52" s="155">
        <f>(B52+C52+D52)/2</f>
        <v>90</v>
      </c>
      <c r="F52" s="155"/>
      <c r="G52" s="155"/>
      <c r="H52" s="214"/>
      <c r="I52" s="214"/>
      <c r="J52" s="211"/>
      <c r="K52" s="215"/>
      <c r="L52" s="212"/>
      <c r="M52" s="213"/>
      <c r="N52" s="261"/>
      <c r="O52" s="318" t="s">
        <v>96</v>
      </c>
      <c r="P52" s="8"/>
    </row>
    <row r="53" spans="1:16" s="26" customFormat="1" ht="12.75" thickBot="1">
      <c r="A53" s="153" t="s">
        <v>28</v>
      </c>
      <c r="B53" s="163">
        <f>N48/B48*2</f>
        <v>3.401747727757863</v>
      </c>
      <c r="C53" s="279"/>
      <c r="D53" s="133" t="str">
        <f>A48</f>
        <v>Toppseil uten stang</v>
      </c>
      <c r="E53" s="184"/>
      <c r="F53" s="184"/>
      <c r="G53" s="184"/>
      <c r="H53" s="210"/>
      <c r="I53" s="210"/>
      <c r="J53" s="211"/>
      <c r="K53" s="212"/>
      <c r="L53" s="212"/>
      <c r="M53" s="213"/>
      <c r="N53" s="262">
        <f>SUM(N48:N51)</f>
        <v>9.110701251334124</v>
      </c>
      <c r="O53" s="316">
        <f>N53/Lwl/Lwl</f>
        <v>0.09110701251334123</v>
      </c>
      <c r="P53" s="8"/>
    </row>
    <row r="54" spans="1:16" ht="12.75" thickTop="1">
      <c r="A54" s="18"/>
      <c r="B54" s="136" t="s">
        <v>46</v>
      </c>
      <c r="C54" s="50">
        <v>0</v>
      </c>
      <c r="D54" s="278"/>
      <c r="E54" s="173"/>
      <c r="F54" s="173"/>
      <c r="G54" s="173"/>
      <c r="H54" s="216"/>
      <c r="I54" s="216"/>
      <c r="J54" s="188"/>
      <c r="K54" s="188"/>
      <c r="L54" s="202"/>
      <c r="M54" s="209"/>
      <c r="N54" s="266"/>
      <c r="O54" s="9"/>
      <c r="P54" s="8"/>
    </row>
    <row r="55" spans="1:16" s="4" customFormat="1" ht="25.5">
      <c r="A55" s="100" t="s">
        <v>10</v>
      </c>
      <c r="B55" s="109" t="str">
        <f>B$2</f>
        <v>NN</v>
      </c>
      <c r="C55" s="101"/>
      <c r="D55" s="101"/>
      <c r="E55" s="186"/>
      <c r="F55" s="186"/>
      <c r="G55" s="186"/>
      <c r="H55" s="197"/>
      <c r="I55" s="197"/>
      <c r="J55" s="198"/>
      <c r="K55" s="198"/>
      <c r="L55" s="199"/>
      <c r="M55" s="200"/>
      <c r="N55" s="102"/>
      <c r="O55" s="336"/>
      <c r="P55" s="3"/>
    </row>
    <row r="56" spans="1:15" ht="22.5">
      <c r="A56" s="150" t="s">
        <v>66</v>
      </c>
      <c r="B56" s="164" t="s">
        <v>65</v>
      </c>
      <c r="C56" s="165"/>
      <c r="D56" s="166"/>
      <c r="E56" s="174"/>
      <c r="F56" s="54"/>
      <c r="G56" s="54"/>
      <c r="H56" s="217"/>
      <c r="I56" s="217"/>
      <c r="J56" s="188"/>
      <c r="K56" s="188"/>
      <c r="L56" s="202"/>
      <c r="M56" s="209"/>
      <c r="N56" s="332"/>
      <c r="O56" s="10"/>
    </row>
    <row r="57" spans="1:16" ht="12">
      <c r="A57" s="61" t="s">
        <v>16</v>
      </c>
      <c r="B57" s="52"/>
      <c r="C57" s="52"/>
      <c r="D57" s="52"/>
      <c r="E57" s="175"/>
      <c r="F57" s="64"/>
      <c r="G57" s="64"/>
      <c r="H57" s="188"/>
      <c r="I57" s="188"/>
      <c r="J57" s="188"/>
      <c r="K57" s="202"/>
      <c r="L57" s="188"/>
      <c r="M57" s="209"/>
      <c r="N57" s="72"/>
      <c r="O57" s="14"/>
      <c r="P57" s="42"/>
    </row>
    <row r="58" spans="1:16" ht="12">
      <c r="A58" s="62" t="s">
        <v>15</v>
      </c>
      <c r="B58" s="53"/>
      <c r="C58" s="53"/>
      <c r="D58" s="53"/>
      <c r="E58" s="176"/>
      <c r="F58" s="64"/>
      <c r="G58" s="64"/>
      <c r="H58" s="188"/>
      <c r="I58" s="188"/>
      <c r="J58" s="188"/>
      <c r="K58" s="202"/>
      <c r="L58" s="188"/>
      <c r="M58" s="209"/>
      <c r="N58" s="333"/>
      <c r="O58" s="14"/>
      <c r="P58" s="42"/>
    </row>
    <row r="59" spans="1:16" ht="12">
      <c r="A59" s="58" t="s">
        <v>37</v>
      </c>
      <c r="B59" s="45">
        <v>1.5</v>
      </c>
      <c r="C59" s="91" t="s">
        <v>36</v>
      </c>
      <c r="D59" s="92"/>
      <c r="E59" s="64"/>
      <c r="F59" s="64"/>
      <c r="G59" s="64"/>
      <c r="H59" s="188"/>
      <c r="I59" s="188"/>
      <c r="J59" s="188"/>
      <c r="K59" s="202"/>
      <c r="L59" s="188"/>
      <c r="M59" s="209"/>
      <c r="N59" s="167"/>
      <c r="O59" s="14"/>
      <c r="P59" s="42"/>
    </row>
    <row r="60" spans="1:16" ht="12">
      <c r="A60" s="58" t="s">
        <v>39</v>
      </c>
      <c r="B60" s="45">
        <v>-1</v>
      </c>
      <c r="C60" s="55" t="s">
        <v>43</v>
      </c>
      <c r="D60" s="56"/>
      <c r="E60" s="64"/>
      <c r="F60" s="64"/>
      <c r="G60" s="64"/>
      <c r="H60" s="188"/>
      <c r="I60" s="188"/>
      <c r="J60" s="188"/>
      <c r="K60" s="202"/>
      <c r="L60" s="188"/>
      <c r="M60" s="209"/>
      <c r="N60" s="57"/>
      <c r="O60" s="14"/>
      <c r="P60" s="42"/>
    </row>
    <row r="61" spans="1:16" ht="12">
      <c r="A61" s="58" t="s">
        <v>40</v>
      </c>
      <c r="B61" s="45">
        <v>4</v>
      </c>
      <c r="C61" s="55" t="s">
        <v>42</v>
      </c>
      <c r="D61" s="92"/>
      <c r="E61" s="64"/>
      <c r="F61" s="64"/>
      <c r="G61" s="64"/>
      <c r="H61" s="188"/>
      <c r="I61" s="188"/>
      <c r="J61" s="188"/>
      <c r="K61" s="202"/>
      <c r="L61" s="188"/>
      <c r="M61" s="209"/>
      <c r="N61" s="93"/>
      <c r="O61" s="14"/>
      <c r="P61" s="42"/>
    </row>
    <row r="62" spans="1:16" s="7" customFormat="1" ht="18">
      <c r="A62" s="58" t="s">
        <v>47</v>
      </c>
      <c r="B62" s="63">
        <f>90-SUM(B59:B61)</f>
        <v>85.5</v>
      </c>
      <c r="C62" s="58"/>
      <c r="D62" s="59"/>
      <c r="E62" s="177"/>
      <c r="F62" s="177"/>
      <c r="G62" s="177"/>
      <c r="H62" s="188"/>
      <c r="I62" s="188"/>
      <c r="J62" s="188"/>
      <c r="K62" s="202"/>
      <c r="L62" s="218"/>
      <c r="M62" s="203"/>
      <c r="N62" s="57"/>
      <c r="O62" s="14"/>
      <c r="P62" s="42"/>
    </row>
    <row r="63" spans="1:16" ht="12">
      <c r="A63" s="66"/>
      <c r="B63" s="38" t="s">
        <v>9</v>
      </c>
      <c r="C63" s="114" t="s">
        <v>8</v>
      </c>
      <c r="D63" s="104"/>
      <c r="E63" s="178" t="s">
        <v>0</v>
      </c>
      <c r="F63" s="178"/>
      <c r="G63" s="178"/>
      <c r="H63" s="188"/>
      <c r="I63" s="188"/>
      <c r="J63" s="188"/>
      <c r="K63" s="202"/>
      <c r="L63" s="188"/>
      <c r="M63" s="209"/>
      <c r="N63" s="121" t="s">
        <v>24</v>
      </c>
      <c r="O63" s="36"/>
      <c r="P63" s="6"/>
    </row>
    <row r="64" spans="1:16" ht="12">
      <c r="A64" s="94" t="s">
        <v>11</v>
      </c>
      <c r="B64" s="95">
        <v>6</v>
      </c>
      <c r="C64" s="115">
        <v>7</v>
      </c>
      <c r="D64" s="105" t="s">
        <v>107</v>
      </c>
      <c r="E64" s="64">
        <f>(C65+B64+C64)/2</f>
        <v>10.927455136951163</v>
      </c>
      <c r="F64" s="64"/>
      <c r="G64" s="64"/>
      <c r="H64" s="188"/>
      <c r="I64" s="188"/>
      <c r="J64" s="188"/>
      <c r="K64" s="202"/>
      <c r="L64" s="188"/>
      <c r="M64" s="209"/>
      <c r="N64" s="122">
        <f>SQRT(s*(s-C65)*(s-B64)*(s-C64))</f>
        <v>20.935264008395677</v>
      </c>
      <c r="O64" s="19" t="s">
        <v>57</v>
      </c>
      <c r="P64" s="103"/>
    </row>
    <row r="65" spans="1:16" ht="12">
      <c r="A65" s="112" t="s">
        <v>59</v>
      </c>
      <c r="B65" s="113"/>
      <c r="C65" s="116">
        <f>SQRT((C64-B64*COS(RADIANS(B62)))^2+(B64*SIN(RADIANS(B62)))^2)</f>
        <v>8.854910273902329</v>
      </c>
      <c r="D65" s="105"/>
      <c r="E65" s="179"/>
      <c r="F65" s="179"/>
      <c r="G65" s="179"/>
      <c r="H65" s="189"/>
      <c r="I65" s="189"/>
      <c r="J65" s="190"/>
      <c r="K65" s="202"/>
      <c r="L65" s="188"/>
      <c r="M65" s="209"/>
      <c r="N65" s="122"/>
      <c r="O65" s="19" t="s">
        <v>56</v>
      </c>
      <c r="P65" s="103"/>
    </row>
    <row r="66" spans="1:16" ht="12">
      <c r="A66" s="60" t="s">
        <v>55</v>
      </c>
      <c r="B66" s="97" t="s">
        <v>6</v>
      </c>
      <c r="C66" s="39" t="s">
        <v>7</v>
      </c>
      <c r="D66" s="123"/>
      <c r="E66" s="64"/>
      <c r="F66" s="64"/>
      <c r="G66" s="64"/>
      <c r="H66" s="190"/>
      <c r="I66" s="190"/>
      <c r="J66" s="188"/>
      <c r="K66" s="202"/>
      <c r="L66" s="188"/>
      <c r="M66" s="209"/>
      <c r="N66" s="168"/>
      <c r="O66" s="21"/>
      <c r="P66" s="21"/>
    </row>
    <row r="67" spans="1:16" ht="12">
      <c r="A67" s="67" t="s">
        <v>32</v>
      </c>
      <c r="B67" s="1">
        <v>0.05</v>
      </c>
      <c r="C67" s="117">
        <f>B64*B67*100</f>
        <v>30.000000000000004</v>
      </c>
      <c r="D67" s="105" t="s">
        <v>52</v>
      </c>
      <c r="E67" s="179"/>
      <c r="F67" s="179"/>
      <c r="G67" s="179"/>
      <c r="H67" s="190"/>
      <c r="I67" s="190"/>
      <c r="J67" s="188"/>
      <c r="K67" s="202"/>
      <c r="L67" s="188"/>
      <c r="M67" s="209"/>
      <c r="N67" s="122">
        <f>C67*B64*0.65/100</f>
        <v>1.1700000000000004</v>
      </c>
      <c r="O67" s="21"/>
      <c r="P67" s="21"/>
    </row>
    <row r="68" spans="1:16" ht="12">
      <c r="A68" s="66"/>
      <c r="B68" s="38" t="s">
        <v>4</v>
      </c>
      <c r="C68" s="114" t="s">
        <v>5</v>
      </c>
      <c r="D68" s="106"/>
      <c r="E68" s="179"/>
      <c r="F68" s="179"/>
      <c r="G68" s="179"/>
      <c r="H68" s="189"/>
      <c r="I68" s="189"/>
      <c r="J68" s="188"/>
      <c r="K68" s="202"/>
      <c r="L68" s="188"/>
      <c r="M68" s="209"/>
      <c r="N68" s="125"/>
      <c r="O68" s="20"/>
      <c r="P68" s="20"/>
    </row>
    <row r="69" spans="1:16" ht="12">
      <c r="A69" s="94" t="s">
        <v>12</v>
      </c>
      <c r="B69" s="96">
        <v>5</v>
      </c>
      <c r="C69" s="115">
        <v>10.5</v>
      </c>
      <c r="D69" s="105" t="s">
        <v>108</v>
      </c>
      <c r="E69" s="64">
        <f>(C65+B69+C69)/2</f>
        <v>12.177455136951163</v>
      </c>
      <c r="F69" s="64"/>
      <c r="G69" s="64"/>
      <c r="H69" s="189"/>
      <c r="I69" s="189"/>
      <c r="J69" s="188"/>
      <c r="K69" s="202"/>
      <c r="L69" s="188"/>
      <c r="M69" s="209"/>
      <c r="N69" s="122">
        <f>SQRT(E69*(E69-C65)*(E69-B69)*(E69-C69))</f>
        <v>22.07112123268374</v>
      </c>
      <c r="O69" s="19" t="s">
        <v>58</v>
      </c>
      <c r="P69" s="19"/>
    </row>
    <row r="70" spans="1:16" ht="12">
      <c r="A70" s="145" t="s">
        <v>53</v>
      </c>
      <c r="B70" s="146"/>
      <c r="C70" s="147">
        <f>C64+COS(RADIANS(A74))*B69</f>
        <v>10.652224470392563</v>
      </c>
      <c r="D70" s="105"/>
      <c r="E70" s="179"/>
      <c r="F70" s="179"/>
      <c r="G70" s="179"/>
      <c r="H70" s="189"/>
      <c r="I70" s="189"/>
      <c r="J70" s="190"/>
      <c r="K70" s="202"/>
      <c r="L70" s="188"/>
      <c r="M70" s="209"/>
      <c r="N70" s="122"/>
      <c r="O70" s="20"/>
      <c r="P70" s="20"/>
    </row>
    <row r="71" spans="1:16" ht="12">
      <c r="A71" s="60" t="s">
        <v>54</v>
      </c>
      <c r="B71" s="97" t="s">
        <v>6</v>
      </c>
      <c r="C71" s="39" t="s">
        <v>7</v>
      </c>
      <c r="D71" s="126"/>
      <c r="E71" s="65"/>
      <c r="F71" s="65"/>
      <c r="G71" s="65"/>
      <c r="H71" s="189"/>
      <c r="I71" s="189"/>
      <c r="J71" s="188"/>
      <c r="K71" s="202"/>
      <c r="L71" s="188"/>
      <c r="M71" s="209"/>
      <c r="N71" s="125"/>
      <c r="O71" s="22"/>
      <c r="P71" s="22"/>
    </row>
    <row r="72" spans="1:16" s="26" customFormat="1" ht="26.25" customHeight="1">
      <c r="A72" s="325" t="s">
        <v>21</v>
      </c>
      <c r="B72" s="25">
        <v>-0.02</v>
      </c>
      <c r="C72" s="118">
        <f>C69*B72*100</f>
        <v>-21</v>
      </c>
      <c r="D72" s="127" t="s">
        <v>52</v>
      </c>
      <c r="E72" s="128"/>
      <c r="F72" s="128"/>
      <c r="G72" s="128"/>
      <c r="H72" s="211"/>
      <c r="I72" s="211"/>
      <c r="J72" s="219"/>
      <c r="K72" s="212"/>
      <c r="L72" s="215"/>
      <c r="M72" s="213"/>
      <c r="N72" s="129">
        <f>C72*C69*0.65/100</f>
        <v>-1.4332500000000001</v>
      </c>
      <c r="O72" s="130" t="s">
        <v>60</v>
      </c>
      <c r="P72" s="130"/>
    </row>
    <row r="73" spans="1:16" ht="15.75" thickBot="1">
      <c r="A73" s="141" t="s">
        <v>44</v>
      </c>
      <c r="B73" s="334" t="s">
        <v>14</v>
      </c>
      <c r="C73" s="334" t="s">
        <v>13</v>
      </c>
      <c r="D73" s="119" t="str">
        <f>A56</f>
        <v>Storseil nytt</v>
      </c>
      <c r="E73" s="191"/>
      <c r="F73" s="191"/>
      <c r="G73" s="191"/>
      <c r="H73" s="189"/>
      <c r="I73" s="189"/>
      <c r="J73" s="190"/>
      <c r="K73" s="202"/>
      <c r="L73" s="188"/>
      <c r="M73" s="209"/>
      <c r="N73" s="294">
        <f>SUM(N64:N72)</f>
        <v>42.743135241079415</v>
      </c>
      <c r="O73" s="299">
        <f>C70^2/N73</f>
        <v>2.6546926314047474</v>
      </c>
      <c r="P73" s="20" t="s">
        <v>17</v>
      </c>
    </row>
    <row r="74" spans="1:16" ht="12.75" thickTop="1">
      <c r="A74" s="142">
        <f>180-(180-DEGREES(ASIN(2*N69/C65/C69))-DEGREES(ASIN(2*N69/C69/B69)))-DEGREES(ASIN(2*N64/C65/C64))</f>
        <v>43.07629593162278</v>
      </c>
      <c r="B74" s="335">
        <f>DEGREES(ASIN(2*N69/C69/B69))</f>
        <v>57.22518311695328</v>
      </c>
      <c r="C74" s="335">
        <f>DEGREES(ASIN(2*N69/C65/C69))+(180-DEGREES(ASIN(2*N64/C65/C64))-B62)</f>
        <v>80.3511128146695</v>
      </c>
      <c r="D74" s="317" t="s">
        <v>98</v>
      </c>
      <c r="E74" s="307"/>
      <c r="F74" s="307"/>
      <c r="G74" s="307"/>
      <c r="H74" s="308"/>
      <c r="I74" s="308"/>
      <c r="J74" s="309"/>
      <c r="K74" s="310"/>
      <c r="L74" s="311"/>
      <c r="M74" s="312"/>
      <c r="N74" s="313">
        <f>N73/Lwl/Lwl</f>
        <v>0.4274313524107941</v>
      </c>
      <c r="O74" s="326" t="s">
        <v>109</v>
      </c>
      <c r="P74" s="6"/>
    </row>
    <row r="75" spans="1:16" s="23" customFormat="1" ht="15.75" thickBot="1">
      <c r="A75" s="138"/>
      <c r="B75" s="143" t="s">
        <v>95</v>
      </c>
      <c r="C75" s="139"/>
      <c r="D75" s="140"/>
      <c r="E75" s="193"/>
      <c r="F75" s="193"/>
      <c r="G75" s="193"/>
      <c r="H75" s="220" t="s">
        <v>76</v>
      </c>
      <c r="I75" s="220" t="s">
        <v>77</v>
      </c>
      <c r="J75" s="220" t="s">
        <v>78</v>
      </c>
      <c r="K75" s="221"/>
      <c r="L75" s="220"/>
      <c r="M75" s="222"/>
      <c r="N75" s="162"/>
      <c r="O75" s="20"/>
      <c r="P75" s="8"/>
    </row>
    <row r="76" spans="1:17" s="228" customFormat="1" ht="12.75" thickBot="1">
      <c r="A76" s="230" t="s">
        <v>99</v>
      </c>
      <c r="B76" s="180">
        <f>Q76</f>
        <v>1.4166666666666667</v>
      </c>
      <c r="C76" s="286"/>
      <c r="D76" s="287" t="s">
        <v>80</v>
      </c>
      <c r="F76" s="226" t="s">
        <v>79</v>
      </c>
      <c r="G76" s="226" t="s">
        <v>84</v>
      </c>
      <c r="H76" s="223" t="s">
        <v>70</v>
      </c>
      <c r="I76" s="223" t="s">
        <v>71</v>
      </c>
      <c r="J76" s="223" t="s">
        <v>72</v>
      </c>
      <c r="K76" s="231" t="s">
        <v>75</v>
      </c>
      <c r="L76" s="224" t="s">
        <v>73</v>
      </c>
      <c r="M76" s="232" t="s">
        <v>74</v>
      </c>
      <c r="N76" s="285" t="s">
        <v>102</v>
      </c>
      <c r="O76" s="337">
        <f>IF(Lwl&lt;1,"Lwl ?",(C69-(0.65*Lwl))/3)</f>
        <v>1.3333333333333333</v>
      </c>
      <c r="P76" s="338">
        <f>IF(Lwl&lt;1,"Lwl ?",(C69-(0.82*Lwl-B69/4))/3)</f>
        <v>1.1833333333333336</v>
      </c>
      <c r="Q76" s="339">
        <f>IF(Lwl&lt;1,"Lwl ?",(C69-(0.5*Lwl+B69/4))/3)</f>
        <v>1.4166666666666667</v>
      </c>
    </row>
    <row r="77" spans="1:16" s="228" customFormat="1" ht="12">
      <c r="A77" s="230" t="s">
        <v>100</v>
      </c>
      <c r="B77" s="180">
        <f>IF(Lwl&lt;1,"Lwl ?",((B76*3/2)))</f>
        <v>2.125</v>
      </c>
      <c r="C77" s="289" t="s">
        <v>101</v>
      </c>
      <c r="D77" s="291"/>
      <c r="F77" s="226"/>
      <c r="G77" s="226"/>
      <c r="H77" s="223"/>
      <c r="I77" s="223"/>
      <c r="J77" s="223"/>
      <c r="K77" s="231"/>
      <c r="L77" s="224"/>
      <c r="M77" s="232"/>
      <c r="N77" s="288"/>
      <c r="P77" s="8"/>
    </row>
    <row r="78" spans="1:16" s="228" customFormat="1" ht="12">
      <c r="A78" s="297" t="s">
        <v>103</v>
      </c>
      <c r="B78" s="296">
        <f>B76</f>
        <v>1.4166666666666667</v>
      </c>
      <c r="C78" s="290">
        <f>E78</f>
        <v>8.253091914226642</v>
      </c>
      <c r="D78" s="295">
        <f>N73-E78</f>
        <v>34.49004332685277</v>
      </c>
      <c r="E78" s="196">
        <f>0.5*(B64+F78)*G78</f>
        <v>8.253091914226642</v>
      </c>
      <c r="F78" s="180">
        <f>SQRT(AD^2+AC^2-2*AD*AC*K78)</f>
        <v>5.6514238789082</v>
      </c>
      <c r="G78" s="234">
        <f>B78</f>
        <v>1.4166666666666667</v>
      </c>
      <c r="H78" s="225">
        <f>C69-G78</f>
        <v>9.083333333333334</v>
      </c>
      <c r="I78" s="225">
        <f>C64-G78</f>
        <v>5.583333333333333</v>
      </c>
      <c r="J78" s="225">
        <f>SQRT((B69)^2+(C64-G78)^2-2*B69*(C64-G78)*COS(RADIANS(180-A74)))</f>
        <v>9.846663615856288</v>
      </c>
      <c r="K78" s="233">
        <f>COS(RADIANS(M78))</f>
        <v>0.8247107910993233</v>
      </c>
      <c r="L78" s="226">
        <f>BC*SIN(RADIANS(180-A74))/AC</f>
        <v>0.38726399665924977</v>
      </c>
      <c r="M78" s="233">
        <f>B74-DEGREES(ASIN(L78))</f>
        <v>34.44081906756303</v>
      </c>
      <c r="N78" s="314">
        <f>D78/Lwl/Lwl</f>
        <v>0.3449004332685277</v>
      </c>
      <c r="P78" s="8"/>
    </row>
    <row r="79" spans="1:16" s="228" customFormat="1" ht="12">
      <c r="A79" s="230" t="s">
        <v>81</v>
      </c>
      <c r="B79" s="229">
        <f>B78</f>
        <v>1.4166666666666667</v>
      </c>
      <c r="C79" s="290">
        <f>E79-E78</f>
        <v>7.707818348928711</v>
      </c>
      <c r="D79" s="295">
        <f>N73-E79</f>
        <v>26.78222497792406</v>
      </c>
      <c r="E79" s="196">
        <f>0.5*(B64+F79)*G79</f>
        <v>15.960910263155354</v>
      </c>
      <c r="F79" s="180">
        <f>SQRT(AD^2+AC^2-2*AD*AC*K79)</f>
        <v>5.266524891639072</v>
      </c>
      <c r="G79" s="234">
        <f>SUM(B78:B79)</f>
        <v>2.8333333333333335</v>
      </c>
      <c r="H79" s="225">
        <f>C69-G79</f>
        <v>7.666666666666666</v>
      </c>
      <c r="I79" s="225">
        <f>C64-G79*0.98</f>
        <v>4.223333333333333</v>
      </c>
      <c r="J79" s="225">
        <f>SQRT((B69)^2+(C64-G79)^2-2*B69*(C64-G79)*COS(RADIANS(180-A74)))</f>
        <v>8.532075657836675</v>
      </c>
      <c r="K79" s="233">
        <f>COS(RADIANS(M79))</f>
        <v>0.7937143612563172</v>
      </c>
      <c r="L79" s="226">
        <f>BC*SIN(RADIANS(180-A74))/AC</f>
        <v>0.3380674287501449</v>
      </c>
      <c r="M79" s="233">
        <f>B74-DEGREES(ASIN(L79))</f>
        <v>37.46600806589147</v>
      </c>
      <c r="N79" s="314">
        <f>D79/Lwl/Lwl</f>
        <v>0.2678222497792406</v>
      </c>
      <c r="P79" s="8"/>
    </row>
    <row r="80" spans="1:16" s="228" customFormat="1" ht="12">
      <c r="A80" s="230" t="s">
        <v>82</v>
      </c>
      <c r="B80" s="229">
        <f>B78</f>
        <v>1.4166666666666667</v>
      </c>
      <c r="C80" s="290">
        <f>E80-E79</f>
        <v>7.208797526143838</v>
      </c>
      <c r="D80" s="295">
        <f>N73-E80</f>
        <v>19.573427451780223</v>
      </c>
      <c r="E80" s="196">
        <f>0.5*(B64+F80)*G80</f>
        <v>23.169707789299192</v>
      </c>
      <c r="F80" s="180">
        <f>SQRT(AD^2+AC^2-2*AD*AC*K80)</f>
        <v>4.903391900846677</v>
      </c>
      <c r="G80" s="234">
        <f>SUM(B78:B80)</f>
        <v>4.25</v>
      </c>
      <c r="H80" s="225">
        <f>C69-G80</f>
        <v>6.25</v>
      </c>
      <c r="I80" s="225">
        <f>C64-G80*0.98</f>
        <v>2.835</v>
      </c>
      <c r="J80" s="225">
        <f>SQRT((B69)^2+(C64-G80)^2-2*B69*(C64-G80)*COS(RADIANS(180-A74)))</f>
        <v>7.256013684328268</v>
      </c>
      <c r="K80" s="233">
        <f>COS(RADIANS(M80))</f>
        <v>0.7460733719400069</v>
      </c>
      <c r="L80" s="226">
        <f>BC*SIN(RADIANS(180-A74))/AC</f>
        <v>0.2668441205666069</v>
      </c>
      <c r="M80" s="233">
        <f>B74-DEGREES(ASIN(L80))</f>
        <v>41.74862353028372</v>
      </c>
      <c r="N80" s="314">
        <f>D80/Lwl/Lwl</f>
        <v>0.19573427451780223</v>
      </c>
      <c r="P80" s="8"/>
    </row>
    <row r="81" spans="1:16" s="228" customFormat="1" ht="12.75" thickBot="1">
      <c r="A81" s="230" t="s">
        <v>83</v>
      </c>
      <c r="B81" s="229">
        <f>B78</f>
        <v>1.4166666666666667</v>
      </c>
      <c r="C81" s="290">
        <f>E81-E80</f>
        <v>6.7058755900631155</v>
      </c>
      <c r="D81" s="298">
        <f>N73-E81</f>
        <v>12.867551861717107</v>
      </c>
      <c r="E81" s="196">
        <f>0.5*(B64+F81)*G81</f>
        <v>29.875583379362308</v>
      </c>
      <c r="F81" s="180">
        <f>SQRT(AD^2+AC^2-2*AD*AC*K81)</f>
        <v>4.544323545657285</v>
      </c>
      <c r="G81" s="234">
        <f>SUM(B78:B81)</f>
        <v>5.666666666666667</v>
      </c>
      <c r="H81" s="225">
        <f>C69-G81</f>
        <v>4.833333333333333</v>
      </c>
      <c r="I81" s="225">
        <f>C64-G81*0.98</f>
        <v>1.4466666666666663</v>
      </c>
      <c r="J81" s="225">
        <f>SQRT((B69)^2+(C64-G81)^2-2*B69*(C64-G81)*COS(RADIANS(180-A74)))</f>
        <v>6.0429333135620436</v>
      </c>
      <c r="K81" s="233">
        <f>COS(RADIANS(M81))</f>
        <v>0.6715272252190457</v>
      </c>
      <c r="L81" s="226">
        <f>BC*SIN(RADIANS(180-A74))/AC</f>
        <v>0.16350210237530083</v>
      </c>
      <c r="M81" s="233">
        <f>B74-DEGREES(ASIN(L81))</f>
        <v>47.81495352011509</v>
      </c>
      <c r="N81" s="315">
        <f>D81/Lwl/Lwl</f>
        <v>0.12867551861717108</v>
      </c>
      <c r="P81" s="8"/>
    </row>
    <row r="82" spans="1:16" s="228" customFormat="1" ht="12">
      <c r="A82" s="293"/>
      <c r="B82" s="284" t="s">
        <v>97</v>
      </c>
      <c r="C82" s="281" t="s">
        <v>104</v>
      </c>
      <c r="D82" s="292">
        <f>Lwl^2*0.3</f>
        <v>30</v>
      </c>
      <c r="E82" s="282"/>
      <c r="F82" s="282"/>
      <c r="G82" s="282"/>
      <c r="H82" s="232"/>
      <c r="I82" s="232"/>
      <c r="J82" s="232"/>
      <c r="K82" s="283"/>
      <c r="L82" s="232"/>
      <c r="M82" s="231"/>
      <c r="O82" s="20"/>
      <c r="P82" s="8"/>
    </row>
    <row r="83" spans="1:16" s="228" customFormat="1" ht="12">
      <c r="A83" s="293"/>
      <c r="B83" s="281"/>
      <c r="C83" s="281" t="s">
        <v>105</v>
      </c>
      <c r="D83" s="292">
        <f>Lwl^2*0.2</f>
        <v>20</v>
      </c>
      <c r="E83" s="282"/>
      <c r="F83" s="282"/>
      <c r="G83" s="282"/>
      <c r="H83" s="232"/>
      <c r="I83" s="232"/>
      <c r="J83" s="232"/>
      <c r="K83" s="283"/>
      <c r="L83" s="232"/>
      <c r="M83" s="231"/>
      <c r="O83" s="20"/>
      <c r="P83" s="8"/>
    </row>
    <row r="84" spans="1:16" s="4" customFormat="1" ht="25.5">
      <c r="A84" s="100" t="s">
        <v>10</v>
      </c>
      <c r="B84" s="109" t="str">
        <f>B$2</f>
        <v>NN</v>
      </c>
      <c r="C84" s="101"/>
      <c r="D84" s="101"/>
      <c r="E84" s="186"/>
      <c r="F84" s="186"/>
      <c r="G84" s="186"/>
      <c r="H84" s="197"/>
      <c r="I84" s="197"/>
      <c r="J84" s="198"/>
      <c r="K84" s="198"/>
      <c r="L84" s="199"/>
      <c r="M84" s="200"/>
      <c r="N84" s="102"/>
      <c r="O84" s="3"/>
      <c r="P84" s="3"/>
    </row>
    <row r="85" spans="1:16" ht="22.5">
      <c r="A85" s="150" t="s">
        <v>50</v>
      </c>
      <c r="B85" s="51" t="s">
        <v>65</v>
      </c>
      <c r="C85" s="98"/>
      <c r="D85" s="99"/>
      <c r="E85" s="174"/>
      <c r="F85" s="54"/>
      <c r="G85" s="54"/>
      <c r="H85" s="188"/>
      <c r="I85" s="188"/>
      <c r="J85" s="188"/>
      <c r="K85" s="202"/>
      <c r="L85" s="188"/>
      <c r="M85" s="209"/>
      <c r="O85" s="14"/>
      <c r="P85" s="43"/>
    </row>
    <row r="86" spans="1:16" ht="12">
      <c r="A86" s="12" t="s">
        <v>16</v>
      </c>
      <c r="B86" s="13"/>
      <c r="C86" s="13"/>
      <c r="D86" s="13"/>
      <c r="E86" s="175"/>
      <c r="F86" s="64"/>
      <c r="G86" s="64"/>
      <c r="H86" s="188"/>
      <c r="I86" s="188"/>
      <c r="J86" s="188"/>
      <c r="K86" s="202"/>
      <c r="L86" s="188"/>
      <c r="M86" s="209"/>
      <c r="N86" s="73"/>
      <c r="O86" s="14"/>
      <c r="P86" s="42"/>
    </row>
    <row r="87" spans="1:16" ht="12">
      <c r="A87" s="15" t="s">
        <v>15</v>
      </c>
      <c r="B87" s="16"/>
      <c r="C87" s="16"/>
      <c r="D87" s="131"/>
      <c r="E87" s="64"/>
      <c r="F87" s="64"/>
      <c r="G87" s="64"/>
      <c r="H87" s="188"/>
      <c r="I87" s="188"/>
      <c r="J87" s="188"/>
      <c r="K87" s="202"/>
      <c r="L87" s="188"/>
      <c r="M87" s="209"/>
      <c r="N87" s="73"/>
      <c r="O87" s="14"/>
      <c r="P87" s="42"/>
    </row>
    <row r="88" spans="1:16" ht="12">
      <c r="A88" s="18" t="s">
        <v>37</v>
      </c>
      <c r="B88" s="45">
        <v>1.5</v>
      </c>
      <c r="C88" s="48" t="s">
        <v>36</v>
      </c>
      <c r="D88" s="132"/>
      <c r="E88" s="194"/>
      <c r="F88" s="194"/>
      <c r="G88" s="194"/>
      <c r="H88" s="188"/>
      <c r="I88" s="188"/>
      <c r="J88" s="188"/>
      <c r="K88" s="202"/>
      <c r="L88" s="188"/>
      <c r="M88" s="209"/>
      <c r="N88" s="90"/>
      <c r="O88" s="14"/>
      <c r="P88" s="42"/>
    </row>
    <row r="89" spans="1:16" ht="12">
      <c r="A89" s="18" t="s">
        <v>39</v>
      </c>
      <c r="B89" s="45">
        <v>0</v>
      </c>
      <c r="C89" s="48" t="s">
        <v>41</v>
      </c>
      <c r="E89" s="64"/>
      <c r="F89" s="64"/>
      <c r="G89" s="64"/>
      <c r="H89" s="188"/>
      <c r="I89" s="188"/>
      <c r="J89" s="188"/>
      <c r="K89" s="202"/>
      <c r="L89" s="188"/>
      <c r="M89" s="209"/>
      <c r="N89" s="44"/>
      <c r="O89" s="14"/>
      <c r="P89" s="42"/>
    </row>
    <row r="90" spans="1:16" ht="12">
      <c r="A90" s="18" t="s">
        <v>38</v>
      </c>
      <c r="B90" s="45">
        <v>6</v>
      </c>
      <c r="C90" s="48" t="s">
        <v>110</v>
      </c>
      <c r="D90" s="132"/>
      <c r="E90" s="194"/>
      <c r="F90" s="194"/>
      <c r="G90" s="194"/>
      <c r="H90" s="188"/>
      <c r="I90" s="188"/>
      <c r="J90" s="188"/>
      <c r="K90" s="202"/>
      <c r="L90" s="188"/>
      <c r="M90" s="209"/>
      <c r="N90" s="90"/>
      <c r="O90" s="14"/>
      <c r="P90" s="42"/>
    </row>
    <row r="91" spans="1:16" s="7" customFormat="1" ht="18.75" thickBot="1">
      <c r="A91" s="18" t="s">
        <v>47</v>
      </c>
      <c r="B91" s="46">
        <f>90-SUM(B88:B90)</f>
        <v>82.5</v>
      </c>
      <c r="C91" s="17"/>
      <c r="E91" s="81"/>
      <c r="F91" s="177"/>
      <c r="G91" s="177"/>
      <c r="H91" s="218"/>
      <c r="I91" s="218"/>
      <c r="J91" s="188"/>
      <c r="K91" s="227"/>
      <c r="L91" s="218"/>
      <c r="M91" s="203"/>
      <c r="N91" s="73"/>
      <c r="O91" s="8"/>
      <c r="P91" s="42"/>
    </row>
    <row r="92" spans="1:16" ht="12">
      <c r="A92" s="66"/>
      <c r="B92" s="38" t="s">
        <v>9</v>
      </c>
      <c r="C92" s="114" t="s">
        <v>8</v>
      </c>
      <c r="D92" s="104"/>
      <c r="E92" s="178" t="s">
        <v>0</v>
      </c>
      <c r="F92" s="178"/>
      <c r="G92" s="178"/>
      <c r="H92" s="188"/>
      <c r="I92" s="188"/>
      <c r="J92" s="188"/>
      <c r="K92" s="202"/>
      <c r="L92" s="188"/>
      <c r="M92" s="209"/>
      <c r="N92" s="121" t="s">
        <v>24</v>
      </c>
      <c r="O92" s="36"/>
      <c r="P92" s="6"/>
    </row>
    <row r="93" spans="1:16" ht="12">
      <c r="A93" s="94" t="s">
        <v>11</v>
      </c>
      <c r="B93" s="95">
        <v>0</v>
      </c>
      <c r="C93" s="115">
        <v>0</v>
      </c>
      <c r="D93" s="105" t="s">
        <v>107</v>
      </c>
      <c r="E93" s="64">
        <f>(C94+B93+C93)/2</f>
        <v>0</v>
      </c>
      <c r="F93" s="64"/>
      <c r="G93" s="64"/>
      <c r="H93" s="188"/>
      <c r="I93" s="188"/>
      <c r="J93" s="188"/>
      <c r="K93" s="202"/>
      <c r="L93" s="188"/>
      <c r="M93" s="209"/>
      <c r="N93" s="122">
        <f>SQRT(s*(s-C94)*(s-B93)*(s-C93))</f>
        <v>0</v>
      </c>
      <c r="O93" s="19" t="s">
        <v>57</v>
      </c>
      <c r="P93" s="103"/>
    </row>
    <row r="94" spans="1:16" ht="12">
      <c r="A94" s="112" t="s">
        <v>59</v>
      </c>
      <c r="B94" s="113"/>
      <c r="C94" s="116">
        <f>SQRT((C93-B93*COS(RADIANS(B91)))^2+(B93*SIN(RADIANS(B91)))^2)</f>
        <v>0</v>
      </c>
      <c r="D94" s="105"/>
      <c r="E94" s="179"/>
      <c r="F94" s="179"/>
      <c r="G94" s="179"/>
      <c r="H94" s="189"/>
      <c r="I94" s="189"/>
      <c r="J94" s="190"/>
      <c r="K94" s="202"/>
      <c r="L94" s="188"/>
      <c r="M94" s="209"/>
      <c r="N94" s="122"/>
      <c r="O94" s="19" t="s">
        <v>56</v>
      </c>
      <c r="P94" s="103"/>
    </row>
    <row r="95" spans="1:16" ht="12">
      <c r="A95" s="60" t="s">
        <v>55</v>
      </c>
      <c r="B95" s="97" t="s">
        <v>6</v>
      </c>
      <c r="C95" s="39" t="s">
        <v>7</v>
      </c>
      <c r="D95" s="123"/>
      <c r="E95" s="64"/>
      <c r="F95" s="64"/>
      <c r="G95" s="64"/>
      <c r="H95" s="190"/>
      <c r="I95" s="190"/>
      <c r="J95" s="188"/>
      <c r="K95" s="202"/>
      <c r="L95" s="188"/>
      <c r="M95" s="209"/>
      <c r="N95" s="124"/>
      <c r="O95" s="21"/>
      <c r="P95" s="21"/>
    </row>
    <row r="96" spans="1:16" ht="12">
      <c r="A96" s="67" t="s">
        <v>32</v>
      </c>
      <c r="B96" s="1">
        <v>0.05</v>
      </c>
      <c r="C96" s="117">
        <f>B93*B96*100</f>
        <v>0</v>
      </c>
      <c r="D96" s="105" t="s">
        <v>52</v>
      </c>
      <c r="E96" s="179"/>
      <c r="F96" s="179"/>
      <c r="G96" s="179"/>
      <c r="H96" s="190"/>
      <c r="I96" s="190"/>
      <c r="J96" s="188"/>
      <c r="K96" s="202"/>
      <c r="L96" s="188"/>
      <c r="M96" s="209"/>
      <c r="N96" s="122">
        <f>C96*B93*0.65/100</f>
        <v>0</v>
      </c>
      <c r="O96" s="21"/>
      <c r="P96" s="21"/>
    </row>
    <row r="97" spans="1:16" ht="12">
      <c r="A97" s="66"/>
      <c r="B97" s="38" t="s">
        <v>4</v>
      </c>
      <c r="C97" s="114" t="s">
        <v>5</v>
      </c>
      <c r="D97" s="106"/>
      <c r="E97" s="179"/>
      <c r="F97" s="179"/>
      <c r="G97" s="179"/>
      <c r="H97" s="189"/>
      <c r="I97" s="189"/>
      <c r="J97" s="188"/>
      <c r="K97" s="202"/>
      <c r="L97" s="188"/>
      <c r="M97" s="209"/>
      <c r="N97" s="125"/>
      <c r="O97" s="20"/>
      <c r="P97" s="20"/>
    </row>
    <row r="98" spans="1:16" ht="12">
      <c r="A98" s="94" t="s">
        <v>12</v>
      </c>
      <c r="B98" s="96">
        <v>0</v>
      </c>
      <c r="C98" s="115">
        <v>0</v>
      </c>
      <c r="D98" s="105" t="s">
        <v>108</v>
      </c>
      <c r="E98" s="64">
        <f>(C94+B98+C98)/2</f>
        <v>0</v>
      </c>
      <c r="F98" s="64"/>
      <c r="G98" s="64"/>
      <c r="H98" s="189"/>
      <c r="I98" s="189"/>
      <c r="J98" s="188"/>
      <c r="K98" s="202"/>
      <c r="L98" s="188"/>
      <c r="M98" s="209"/>
      <c r="N98" s="122">
        <f>SQRT(E98*(E98-C94)*(E98-B98)*(E98-C98))</f>
        <v>0</v>
      </c>
      <c r="O98" s="19" t="s">
        <v>58</v>
      </c>
      <c r="P98" s="19"/>
    </row>
    <row r="99" spans="1:16" ht="12">
      <c r="A99" s="112" t="s">
        <v>64</v>
      </c>
      <c r="B99" s="111"/>
      <c r="C99" s="116" t="e">
        <f>C93+COS(RADIANS(C103))*B98</f>
        <v>#DIV/0!</v>
      </c>
      <c r="D99" s="105"/>
      <c r="E99" s="179"/>
      <c r="F99" s="179"/>
      <c r="G99" s="179"/>
      <c r="H99" s="189"/>
      <c r="I99" s="189"/>
      <c r="J99" s="190"/>
      <c r="K99" s="202"/>
      <c r="L99" s="188"/>
      <c r="M99" s="209"/>
      <c r="N99" s="122"/>
      <c r="O99" s="20"/>
      <c r="P99" s="20"/>
    </row>
    <row r="100" spans="1:16" ht="12">
      <c r="A100" s="60" t="s">
        <v>54</v>
      </c>
      <c r="B100" s="97" t="s">
        <v>6</v>
      </c>
      <c r="C100" s="39" t="s">
        <v>7</v>
      </c>
      <c r="D100" s="126"/>
      <c r="E100" s="65"/>
      <c r="F100" s="65"/>
      <c r="G100" s="65"/>
      <c r="H100" s="189"/>
      <c r="I100" s="189"/>
      <c r="J100" s="188"/>
      <c r="K100" s="202"/>
      <c r="L100" s="188"/>
      <c r="M100" s="209"/>
      <c r="N100" s="125"/>
      <c r="O100" s="22"/>
      <c r="P100" s="22"/>
    </row>
    <row r="101" spans="1:16" s="26" customFormat="1" ht="26.25" customHeight="1">
      <c r="A101" s="144" t="s">
        <v>21</v>
      </c>
      <c r="B101" s="25">
        <v>-0.02</v>
      </c>
      <c r="C101" s="118">
        <f>C98*B101*100</f>
        <v>0</v>
      </c>
      <c r="D101" s="127" t="s">
        <v>52</v>
      </c>
      <c r="E101" s="128"/>
      <c r="F101" s="128"/>
      <c r="G101" s="128"/>
      <c r="H101" s="211"/>
      <c r="I101" s="211"/>
      <c r="J101" s="219"/>
      <c r="K101" s="212"/>
      <c r="L101" s="215"/>
      <c r="M101" s="213"/>
      <c r="N101" s="129">
        <f>C101*C98*0.65/100</f>
        <v>0</v>
      </c>
      <c r="O101" s="130" t="s">
        <v>60</v>
      </c>
      <c r="P101" s="130"/>
    </row>
    <row r="102" spans="1:16" ht="15.75" thickBot="1">
      <c r="A102" s="68" t="s">
        <v>14</v>
      </c>
      <c r="B102" s="68" t="s">
        <v>13</v>
      </c>
      <c r="C102" s="141" t="s">
        <v>44</v>
      </c>
      <c r="D102" s="119" t="str">
        <f>A85</f>
        <v>Mesan</v>
      </c>
      <c r="E102" s="191"/>
      <c r="F102" s="191"/>
      <c r="G102" s="191"/>
      <c r="H102" s="189"/>
      <c r="I102" s="189"/>
      <c r="J102" s="190"/>
      <c r="K102" s="202"/>
      <c r="L102" s="188"/>
      <c r="M102" s="209"/>
      <c r="N102" s="120">
        <f>SUM(N93:N101)</f>
        <v>0</v>
      </c>
      <c r="O102" s="37" t="e">
        <f>C99^2/N102</f>
        <v>#DIV/0!</v>
      </c>
      <c r="P102" s="20" t="s">
        <v>17</v>
      </c>
    </row>
    <row r="103" spans="1:16" ht="15.75" thickTop="1">
      <c r="A103" s="34" t="e">
        <f>DEGREES(ASIN(2*N98/C98/B98))</f>
        <v>#DIV/0!</v>
      </c>
      <c r="B103" s="34" t="e">
        <f>DEGREES(ASIN(2*N98/C94/C98))+(180-DEGREES(ASIN(2*N93/C94/C93))-B91)</f>
        <v>#DIV/0!</v>
      </c>
      <c r="C103" s="142" t="e">
        <f>180-(180-DEGREES(ASIN(2*N98/C94/C98))-DEGREES(ASIN(2*N98/C98/B98)))-DEGREES(ASIN(2*N93/C94/C93))</f>
        <v>#DIV/0!</v>
      </c>
      <c r="D103" s="110" t="s">
        <v>51</v>
      </c>
      <c r="E103" s="176"/>
      <c r="F103" s="176"/>
      <c r="G103" s="176"/>
      <c r="H103" s="189"/>
      <c r="I103" s="189"/>
      <c r="J103" s="190"/>
      <c r="K103" s="202"/>
      <c r="L103" s="188"/>
      <c r="M103" s="209"/>
      <c r="N103" s="2">
        <v>0</v>
      </c>
      <c r="O103" s="6"/>
      <c r="P103" s="6"/>
    </row>
    <row r="104" spans="1:16" s="23" customFormat="1" ht="15">
      <c r="A104" s="138"/>
      <c r="B104" s="143" t="s">
        <v>63</v>
      </c>
      <c r="C104" s="139"/>
      <c r="D104" s="140"/>
      <c r="E104" s="192"/>
      <c r="F104" s="192"/>
      <c r="G104" s="192"/>
      <c r="H104" s="220"/>
      <c r="I104" s="220"/>
      <c r="J104" s="220"/>
      <c r="K104" s="221"/>
      <c r="L104" s="220"/>
      <c r="M104" s="222"/>
      <c r="N104" s="107"/>
      <c r="O104" s="20"/>
      <c r="P104" s="8"/>
    </row>
  </sheetData>
  <sheetProtection sheet="1" objects="1" scenarios="1"/>
  <printOptions horizontalCentered="1"/>
  <pageMargins left="0.3937007874015748" right="0.32" top="0.49" bottom="0.61" header="0.23" footer="0.26"/>
  <pageSetup horizontalDpi="300" verticalDpi="300" orientation="portrait"/>
  <headerFooter alignWithMargins="0">
    <oddHeader>&amp;C&amp;F</oddHeader>
    <oddFooter>&amp;C&amp;"Times New Roman,Normal"&amp;8Side &amp;P av &amp;N
&amp;Z&amp;F &amp;D</oddFooter>
  </headerFooter>
  <rowBreaks count="2" manualBreakCount="2">
    <brk id="39" max="255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Jul-Nielsen Trebåtservice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Seilareal beregninger</dc:title>
  <dc:subject/>
  <dc:creator>Jeppe Jul Nielsen</dc:creator>
  <cp:keywords/>
  <dc:description/>
  <cp:lastModifiedBy>Martin Høy</cp:lastModifiedBy>
  <cp:lastPrinted>2009-11-03T13:03:20Z</cp:lastPrinted>
  <dcterms:created xsi:type="dcterms:W3CDTF">1997-01-16T18:32:43Z</dcterms:created>
  <dcterms:modified xsi:type="dcterms:W3CDTF">2011-06-30T18:43:42Z</dcterms:modified>
  <cp:category/>
  <cp:version/>
  <cp:contentType/>
  <cp:contentStatus/>
</cp:coreProperties>
</file>